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210" windowWidth="10905" windowHeight="7320" tabRatio="790" activeTab="0"/>
  </bookViews>
  <sheets>
    <sheet name="Analisi" sheetId="1" r:id="rId1"/>
    <sheet name="Grafici" sheetId="2" r:id="rId2"/>
    <sheet name="Database_Tabelle" sheetId="3" r:id="rId3"/>
    <sheet name="Database 14" sheetId="4" r:id="rId4"/>
    <sheet name="Dati_veloc_contrazione_libera" sheetId="5" r:id="rId5"/>
  </sheets>
  <definedNames>
    <definedName name="Excel_BuiltIn_Print_Area_11">#REF!</definedName>
    <definedName name="Excel_BuiltIn_Print_Area_2">#REF!</definedName>
    <definedName name="Excel_BuiltIn_Print_Area_3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TABLE_1">#REF!</definedName>
    <definedName name="TABLE_2">#REF!</definedName>
    <definedName name="TABLE_2_1">#REF!</definedName>
    <definedName name="TABLE_2_2">#REF!</definedName>
    <definedName name="TABLE_2_3">#REF!</definedName>
    <definedName name="TABLE_2_4">#REF!</definedName>
    <definedName name="TABLE_2_5">#REF!</definedName>
    <definedName name="TABLE_2_6">#REF!</definedName>
    <definedName name="TABLE_2_7">#REF!</definedName>
    <definedName name="TABLE_2_8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</definedNames>
  <calcPr fullCalcOnLoad="1"/>
</workbook>
</file>

<file path=xl/sharedStrings.xml><?xml version="1.0" encoding="utf-8"?>
<sst xmlns="http://schemas.openxmlformats.org/spreadsheetml/2006/main" count="99" uniqueCount="72">
  <si>
    <t>Peso</t>
  </si>
  <si>
    <t>%</t>
  </si>
  <si>
    <t>m</t>
  </si>
  <si>
    <t>Carico</t>
  </si>
  <si>
    <t>Scarico</t>
  </si>
  <si>
    <t>Allungamento elastico (cm)</t>
  </si>
  <si>
    <t>Dati sperimentali elastico test 14 mm,  25.9 cm</t>
  </si>
  <si>
    <t>Energia elastico 14 mm (Joules)</t>
  </si>
  <si>
    <t>k</t>
  </si>
  <si>
    <t>Velocità contrazione libera (m/sec)</t>
  </si>
  <si>
    <t>Elastico 14 mm</t>
  </si>
  <si>
    <t>Energia "pretensionata"</t>
  </si>
  <si>
    <t>Energia rollegun</t>
  </si>
  <si>
    <t>A = Tacca aggancio ogiva</t>
  </si>
  <si>
    <t>B = Punto aggancio elastici</t>
  </si>
  <si>
    <t>C = Centro puleggia</t>
  </si>
  <si>
    <t>DATI DA INSERIRE</t>
  </si>
  <si>
    <t xml:space="preserve">Inserire A --&gt;C </t>
  </si>
  <si>
    <t>cm</t>
  </si>
  <si>
    <t>Inserire C -- B</t>
  </si>
  <si>
    <t>Lunghezza asta</t>
  </si>
  <si>
    <t xml:space="preserve">Inserire Diametro gola puleggia </t>
  </si>
  <si>
    <t>mm</t>
  </si>
  <si>
    <t xml:space="preserve">diametro asta </t>
  </si>
  <si>
    <t xml:space="preserve">Inserire lunghezza ogiva </t>
  </si>
  <si>
    <t xml:space="preserve">Volume </t>
  </si>
  <si>
    <t>cm3</t>
  </si>
  <si>
    <t xml:space="preserve">Ingombro legature </t>
  </si>
  <si>
    <t xml:space="preserve">cm </t>
  </si>
  <si>
    <t>Peso min-max</t>
  </si>
  <si>
    <t>gr</t>
  </si>
  <si>
    <t xml:space="preserve">Peso medio </t>
  </si>
  <si>
    <t>Inserire fattore di allungamento desiderato</t>
  </si>
  <si>
    <t>Energia Fornita</t>
  </si>
  <si>
    <t>K</t>
  </si>
  <si>
    <t xml:space="preserve">Energia </t>
  </si>
  <si>
    <t>Distanza (m)</t>
  </si>
  <si>
    <t>Velocità</t>
  </si>
  <si>
    <t>Massa</t>
  </si>
  <si>
    <t>Energie utile disponibile</t>
  </si>
  <si>
    <t>Tempo Puntuale</t>
  </si>
  <si>
    <t>Tempo Totale</t>
  </si>
  <si>
    <t>Cb12</t>
  </si>
  <si>
    <t>Cb23</t>
  </si>
  <si>
    <t>Cb1</t>
  </si>
  <si>
    <t>Diametro Asta (mm)</t>
  </si>
  <si>
    <t>Lunghezz Asta (Cm)</t>
  </si>
  <si>
    <t>Lunghezza fucile</t>
  </si>
  <si>
    <t>Dati Fucile</t>
  </si>
  <si>
    <t>Dati Asta</t>
  </si>
  <si>
    <t>Tabella dati sperimentali di conferma</t>
  </si>
  <si>
    <t xml:space="preserve">Tempo di volo </t>
  </si>
  <si>
    <t xml:space="preserve">Distanza </t>
  </si>
  <si>
    <t>(Inserire i dati dalle traccie audio)</t>
  </si>
  <si>
    <t>DATI RICAVATI ASTA</t>
  </si>
  <si>
    <t>DATI RICAVATI FUCILE</t>
  </si>
  <si>
    <t>Velocità massima prevista</t>
  </si>
  <si>
    <t>110% - 420%</t>
  </si>
  <si>
    <t>Forza necessaria caricamento (Kg)</t>
  </si>
  <si>
    <t>Lunghezza elastico 14 ( cm )</t>
  </si>
  <si>
    <t>Pretensionamento (cm )</t>
  </si>
  <si>
    <t>Fattore di allungamento</t>
  </si>
  <si>
    <t>ATTENZIONE: L'utility funziona con fattori 110 % - 420% e fino ad allungamenti di 200 cm</t>
  </si>
  <si>
    <t xml:space="preserve">Corsa totale(cm) = </t>
  </si>
  <si>
    <t>Allungamento elastico (cm) =</t>
  </si>
  <si>
    <t>Lunghezza elastico legatura/legatura (cm) =</t>
  </si>
  <si>
    <t xml:space="preserve">Lunghezza elastico da tagliare (cm) = </t>
  </si>
  <si>
    <t>Pretensionamento (cm) =</t>
  </si>
  <si>
    <t>Tiro dopo 30 minuti di caricamento</t>
  </si>
  <si>
    <t>vel ej</t>
  </si>
  <si>
    <t>Dlc</t>
  </si>
  <si>
    <t>Balistica interna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</si>
</sst>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0.0%"/>
    <numFmt numFmtId="183" formatCode="0.000000"/>
    <numFmt numFmtId="184" formatCode="0.00000000"/>
    <numFmt numFmtId="185" formatCode="0.0000000"/>
    <numFmt numFmtId="186" formatCode="h\.mm\.ss"/>
    <numFmt numFmtId="187" formatCode="[$-410]dddd\ 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1.5"/>
      <name val="Arial"/>
      <family val="0"/>
    </font>
    <font>
      <b/>
      <sz val="13.25"/>
      <color indexed="53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.75"/>
      <name val="Arial"/>
      <family val="0"/>
    </font>
    <font>
      <sz val="19.25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sz val="6"/>
      <name val="Arial"/>
      <family val="2"/>
    </font>
    <font>
      <sz val="10"/>
      <color indexed="43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14.5"/>
      <color indexed="16"/>
      <name val="Arial"/>
      <family val="2"/>
    </font>
    <font>
      <sz val="14.5"/>
      <name val="Arial"/>
      <family val="2"/>
    </font>
    <font>
      <b/>
      <sz val="16.5"/>
      <color indexed="16"/>
      <name val="Arial"/>
      <family val="2"/>
    </font>
    <font>
      <b/>
      <sz val="9.5"/>
      <name val="Arial"/>
      <family val="2"/>
    </font>
    <font>
      <sz val="5"/>
      <name val="Arial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sz val="12"/>
      <color indexed="58"/>
      <name val="Arial"/>
      <family val="2"/>
    </font>
    <font>
      <sz val="18"/>
      <color indexed="58"/>
      <name val="Arial"/>
      <family val="2"/>
    </font>
    <font>
      <sz val="20"/>
      <color indexed="58"/>
      <name val="Arial"/>
      <family val="2"/>
    </font>
    <font>
      <sz val="9"/>
      <color indexed="58"/>
      <name val="Arial"/>
      <family val="2"/>
    </font>
    <font>
      <b/>
      <sz val="10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4" borderId="0" xfId="0" applyFill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3" xfId="0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/>
    </xf>
    <xf numFmtId="1" fontId="0" fillId="4" borderId="12" xfId="0" applyNumberForma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3" borderId="0" xfId="0" applyFill="1" applyAlignment="1">
      <alignment/>
    </xf>
    <xf numFmtId="0" fontId="0" fillId="6" borderId="12" xfId="0" applyFill="1" applyBorder="1" applyAlignment="1">
      <alignment horizontal="left"/>
    </xf>
    <xf numFmtId="178" fontId="0" fillId="6" borderId="13" xfId="0" applyNumberFormat="1" applyFill="1" applyBorder="1" applyAlignment="1">
      <alignment horizontal="right"/>
    </xf>
    <xf numFmtId="178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Alignment="1">
      <alignment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0" fillId="6" borderId="1" xfId="0" applyFill="1" applyBorder="1" applyAlignment="1">
      <alignment horizontal="left"/>
    </xf>
    <xf numFmtId="1" fontId="0" fillId="6" borderId="5" xfId="0" applyNumberFormat="1" applyFill="1" applyBorder="1" applyAlignment="1">
      <alignment horizontal="right"/>
    </xf>
    <xf numFmtId="1" fontId="16" fillId="3" borderId="0" xfId="0" applyNumberFormat="1" applyFont="1" applyFill="1" applyBorder="1" applyAlignment="1">
      <alignment/>
    </xf>
    <xf numFmtId="1" fontId="16" fillId="3" borderId="0" xfId="0" applyNumberFormat="1" applyFont="1" applyFill="1" applyAlignment="1">
      <alignment/>
    </xf>
    <xf numFmtId="178" fontId="16" fillId="3" borderId="0" xfId="0" applyNumberFormat="1" applyFont="1" applyFill="1" applyAlignment="1">
      <alignment/>
    </xf>
    <xf numFmtId="2" fontId="16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0" fillId="3" borderId="10" xfId="0" applyFill="1" applyBorder="1" applyAlignment="1">
      <alignment/>
    </xf>
    <xf numFmtId="0" fontId="0" fillId="5" borderId="6" xfId="0" applyFont="1" applyFill="1" applyBorder="1" applyAlignment="1" applyProtection="1">
      <alignment horizontal="left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78" fontId="0" fillId="3" borderId="0" xfId="0" applyNumberFormat="1" applyFill="1" applyAlignment="1">
      <alignment horizontal="center"/>
    </xf>
    <xf numFmtId="2" fontId="0" fillId="9" borderId="10" xfId="0" applyNumberFormat="1" applyFill="1" applyBorder="1" applyAlignment="1">
      <alignment horizontal="center"/>
    </xf>
    <xf numFmtId="0" fontId="0" fillId="5" borderId="20" xfId="0" applyFont="1" applyFill="1" applyBorder="1" applyAlignment="1" applyProtection="1">
      <alignment horizontal="left" vertical="center"/>
      <protection locked="0"/>
    </xf>
    <xf numFmtId="2" fontId="0" fillId="3" borderId="10" xfId="0" applyNumberFormat="1" applyFill="1" applyBorder="1" applyAlignment="1">
      <alignment horizontal="center"/>
    </xf>
    <xf numFmtId="0" fontId="17" fillId="5" borderId="10" xfId="0" applyFont="1" applyFill="1" applyBorder="1" applyAlignment="1" applyProtection="1">
      <alignment horizontal="left" vertical="center"/>
      <protection locked="0"/>
    </xf>
    <xf numFmtId="180" fontId="15" fillId="3" borderId="10" xfId="0" applyNumberFormat="1" applyFont="1" applyFill="1" applyBorder="1" applyAlignment="1" applyProtection="1">
      <alignment horizontal="center"/>
      <protection locked="0"/>
    </xf>
    <xf numFmtId="180" fontId="15" fillId="3" borderId="10" xfId="0" applyNumberFormat="1" applyFont="1" applyFill="1" applyBorder="1" applyAlignment="1" applyProtection="1">
      <alignment horizontal="center"/>
      <protection locked="0"/>
    </xf>
    <xf numFmtId="2" fontId="0" fillId="8" borderId="0" xfId="0" applyNumberFormat="1" applyFill="1" applyBorder="1" applyAlignment="1">
      <alignment/>
    </xf>
    <xf numFmtId="0" fontId="1" fillId="8" borderId="0" xfId="0" applyFont="1" applyFill="1" applyBorder="1" applyAlignment="1">
      <alignment horizontal="left"/>
    </xf>
    <xf numFmtId="180" fontId="1" fillId="8" borderId="0" xfId="0" applyNumberFormat="1" applyFont="1" applyFill="1" applyBorder="1" applyAlignment="1">
      <alignment horizontal="left"/>
    </xf>
    <xf numFmtId="180" fontId="1" fillId="8" borderId="0" xfId="0" applyNumberFormat="1" applyFont="1" applyFill="1" applyBorder="1" applyAlignment="1" quotePrefix="1">
      <alignment horizontal="left"/>
    </xf>
    <xf numFmtId="2" fontId="1" fillId="8" borderId="0" xfId="0" applyNumberFormat="1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2" fontId="0" fillId="8" borderId="0" xfId="0" applyNumberFormat="1" applyFill="1" applyBorder="1" applyAlignment="1">
      <alignment horizontal="left"/>
    </xf>
    <xf numFmtId="0" fontId="12" fillId="3" borderId="13" xfId="0" applyFont="1" applyFill="1" applyBorder="1" applyAlignment="1" applyProtection="1">
      <alignment/>
      <protection locked="0"/>
    </xf>
    <xf numFmtId="0" fontId="12" fillId="3" borderId="4" xfId="0" applyFont="1" applyFill="1" applyBorder="1" applyAlignment="1" applyProtection="1">
      <alignment/>
      <protection locked="0"/>
    </xf>
    <xf numFmtId="179" fontId="9" fillId="3" borderId="10" xfId="0" applyNumberFormat="1" applyFont="1" applyFill="1" applyBorder="1" applyAlignment="1" applyProtection="1">
      <alignment horizontal="center"/>
      <protection locked="0"/>
    </xf>
    <xf numFmtId="0" fontId="24" fillId="4" borderId="0" xfId="0" applyFont="1" applyFill="1" applyAlignment="1" applyProtection="1">
      <alignment/>
      <protection/>
    </xf>
    <xf numFmtId="0" fontId="24" fillId="10" borderId="12" xfId="0" applyFont="1" applyFill="1" applyBorder="1" applyAlignment="1" applyProtection="1">
      <alignment/>
      <protection/>
    </xf>
    <xf numFmtId="0" fontId="24" fillId="10" borderId="18" xfId="0" applyFont="1" applyFill="1" applyBorder="1" applyAlignment="1" applyProtection="1">
      <alignment/>
      <protection/>
    </xf>
    <xf numFmtId="0" fontId="24" fillId="10" borderId="13" xfId="0" applyFont="1" applyFill="1" applyBorder="1" applyAlignment="1" applyProtection="1">
      <alignment/>
      <protection/>
    </xf>
    <xf numFmtId="0" fontId="24" fillId="10" borderId="3" xfId="0" applyFont="1" applyFill="1" applyBorder="1" applyAlignment="1" applyProtection="1">
      <alignment/>
      <protection/>
    </xf>
    <xf numFmtId="0" fontId="24" fillId="10" borderId="0" xfId="0" applyFont="1" applyFill="1" applyBorder="1" applyAlignment="1" applyProtection="1">
      <alignment/>
      <protection/>
    </xf>
    <xf numFmtId="0" fontId="24" fillId="10" borderId="4" xfId="0" applyFont="1" applyFill="1" applyBorder="1" applyAlignment="1" applyProtection="1">
      <alignment/>
      <protection/>
    </xf>
    <xf numFmtId="0" fontId="24" fillId="10" borderId="1" xfId="0" applyFont="1" applyFill="1" applyBorder="1" applyAlignment="1" applyProtection="1">
      <alignment/>
      <protection/>
    </xf>
    <xf numFmtId="0" fontId="24" fillId="10" borderId="2" xfId="0" applyFont="1" applyFill="1" applyBorder="1" applyAlignment="1" applyProtection="1">
      <alignment/>
      <protection/>
    </xf>
    <xf numFmtId="0" fontId="24" fillId="10" borderId="5" xfId="0" applyFont="1" applyFill="1" applyBorder="1" applyAlignment="1" applyProtection="1">
      <alignment/>
      <protection/>
    </xf>
    <xf numFmtId="0" fontId="24" fillId="3" borderId="20" xfId="0" applyFont="1" applyFill="1" applyBorder="1" applyAlignment="1" applyProtection="1">
      <alignment/>
      <protection/>
    </xf>
    <xf numFmtId="0" fontId="24" fillId="3" borderId="21" xfId="0" applyFont="1" applyFill="1" applyBorder="1" applyAlignment="1" applyProtection="1">
      <alignment/>
      <protection/>
    </xf>
    <xf numFmtId="0" fontId="24" fillId="3" borderId="22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3" borderId="12" xfId="0" applyFont="1" applyFill="1" applyBorder="1" applyAlignment="1" applyProtection="1">
      <alignment/>
      <protection/>
    </xf>
    <xf numFmtId="0" fontId="24" fillId="3" borderId="18" xfId="0" applyFont="1" applyFill="1" applyBorder="1" applyAlignment="1" applyProtection="1">
      <alignment/>
      <protection/>
    </xf>
    <xf numFmtId="0" fontId="24" fillId="3" borderId="13" xfId="0" applyFont="1" applyFill="1" applyBorder="1" applyAlignment="1" applyProtection="1">
      <alignment/>
      <protection/>
    </xf>
    <xf numFmtId="0" fontId="24" fillId="3" borderId="3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0" fontId="24" fillId="3" borderId="1" xfId="0" applyFont="1" applyFill="1" applyBorder="1" applyAlignment="1" applyProtection="1">
      <alignment/>
      <protection/>
    </xf>
    <xf numFmtId="0" fontId="24" fillId="3" borderId="2" xfId="0" applyFont="1" applyFill="1" applyBorder="1" applyAlignment="1" applyProtection="1">
      <alignment/>
      <protection/>
    </xf>
    <xf numFmtId="0" fontId="24" fillId="3" borderId="5" xfId="0" applyFont="1" applyFill="1" applyBorder="1" applyAlignment="1" applyProtection="1">
      <alignment/>
      <protection/>
    </xf>
    <xf numFmtId="0" fontId="25" fillId="3" borderId="0" xfId="0" applyFont="1" applyFill="1" applyBorder="1" applyAlignment="1" applyProtection="1">
      <alignment/>
      <protection/>
    </xf>
    <xf numFmtId="0" fontId="16" fillId="3" borderId="2" xfId="0" applyFont="1" applyFill="1" applyBorder="1" applyAlignment="1" applyProtection="1">
      <alignment/>
      <protection/>
    </xf>
    <xf numFmtId="0" fontId="12" fillId="3" borderId="5" xfId="0" applyFont="1" applyFill="1" applyBorder="1" applyAlignment="1" applyProtection="1">
      <alignment/>
      <protection/>
    </xf>
    <xf numFmtId="0" fontId="24" fillId="4" borderId="3" xfId="0" applyFont="1" applyFill="1" applyBorder="1" applyAlignment="1" applyProtection="1">
      <alignment/>
      <protection/>
    </xf>
    <xf numFmtId="0" fontId="24" fillId="4" borderId="0" xfId="0" applyFont="1" applyFill="1" applyAlignment="1" applyProtection="1">
      <alignment/>
      <protection/>
    </xf>
    <xf numFmtId="0" fontId="24" fillId="2" borderId="12" xfId="0" applyFont="1" applyFill="1" applyBorder="1" applyAlignment="1" applyProtection="1">
      <alignment/>
      <protection/>
    </xf>
    <xf numFmtId="0" fontId="24" fillId="2" borderId="18" xfId="0" applyFont="1" applyFill="1" applyBorder="1" applyAlignment="1" applyProtection="1">
      <alignment/>
      <protection/>
    </xf>
    <xf numFmtId="178" fontId="24" fillId="2" borderId="13" xfId="0" applyNumberFormat="1" applyFont="1" applyFill="1" applyBorder="1" applyAlignment="1" applyProtection="1">
      <alignment/>
      <protection/>
    </xf>
    <xf numFmtId="0" fontId="24" fillId="2" borderId="20" xfId="0" applyFont="1" applyFill="1" applyBorder="1" applyAlignment="1" applyProtection="1">
      <alignment/>
      <protection/>
    </xf>
    <xf numFmtId="0" fontId="24" fillId="2" borderId="21" xfId="0" applyFont="1" applyFill="1" applyBorder="1" applyAlignment="1" applyProtection="1">
      <alignment/>
      <protection/>
    </xf>
    <xf numFmtId="0" fontId="24" fillId="2" borderId="22" xfId="0" applyFont="1" applyFill="1" applyBorder="1" applyAlignment="1" applyProtection="1">
      <alignment/>
      <protection/>
    </xf>
    <xf numFmtId="0" fontId="24" fillId="11" borderId="12" xfId="0" applyFont="1" applyFill="1" applyBorder="1" applyAlignment="1" applyProtection="1">
      <alignment/>
      <protection/>
    </xf>
    <xf numFmtId="0" fontId="30" fillId="11" borderId="18" xfId="0" applyFont="1" applyFill="1" applyBorder="1" applyAlignment="1" applyProtection="1">
      <alignment/>
      <protection/>
    </xf>
    <xf numFmtId="178" fontId="30" fillId="11" borderId="18" xfId="0" applyNumberFormat="1" applyFont="1" applyFill="1" applyBorder="1" applyAlignment="1" applyProtection="1">
      <alignment/>
      <protection/>
    </xf>
    <xf numFmtId="0" fontId="30" fillId="11" borderId="13" xfId="0" applyFont="1" applyFill="1" applyBorder="1" applyAlignment="1" applyProtection="1">
      <alignment/>
      <protection/>
    </xf>
    <xf numFmtId="0" fontId="24" fillId="11" borderId="3" xfId="0" applyFont="1" applyFill="1" applyBorder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178" fontId="24" fillId="11" borderId="0" xfId="0" applyNumberFormat="1" applyFont="1" applyFill="1" applyBorder="1" applyAlignment="1" applyProtection="1">
      <alignment/>
      <protection/>
    </xf>
    <xf numFmtId="0" fontId="24" fillId="11" borderId="4" xfId="0" applyFont="1" applyFill="1" applyBorder="1" applyAlignment="1" applyProtection="1">
      <alignment/>
      <protection/>
    </xf>
    <xf numFmtId="0" fontId="30" fillId="11" borderId="0" xfId="0" applyFont="1" applyFill="1" applyBorder="1" applyAlignment="1" applyProtection="1">
      <alignment/>
      <protection/>
    </xf>
    <xf numFmtId="178" fontId="30" fillId="11" borderId="0" xfId="0" applyNumberFormat="1" applyFont="1" applyFill="1" applyBorder="1" applyAlignment="1" applyProtection="1">
      <alignment/>
      <protection/>
    </xf>
    <xf numFmtId="0" fontId="30" fillId="11" borderId="4" xfId="0" applyFont="1" applyFill="1" applyBorder="1" applyAlignment="1" applyProtection="1">
      <alignment/>
      <protection/>
    </xf>
    <xf numFmtId="1" fontId="24" fillId="11" borderId="0" xfId="0" applyNumberFormat="1" applyFont="1" applyFill="1" applyBorder="1" applyAlignment="1" applyProtection="1">
      <alignment/>
      <protection/>
    </xf>
    <xf numFmtId="1" fontId="24" fillId="11" borderId="4" xfId="0" applyNumberFormat="1" applyFont="1" applyFill="1" applyBorder="1" applyAlignment="1" applyProtection="1">
      <alignment/>
      <protection/>
    </xf>
    <xf numFmtId="0" fontId="24" fillId="11" borderId="1" xfId="0" applyFont="1" applyFill="1" applyBorder="1" applyAlignment="1" applyProtection="1">
      <alignment/>
      <protection/>
    </xf>
    <xf numFmtId="0" fontId="24" fillId="11" borderId="2" xfId="0" applyFont="1" applyFill="1" applyBorder="1" applyAlignment="1" applyProtection="1">
      <alignment/>
      <protection/>
    </xf>
    <xf numFmtId="1" fontId="24" fillId="11" borderId="2" xfId="0" applyNumberFormat="1" applyFont="1" applyFill="1" applyBorder="1" applyAlignment="1" applyProtection="1">
      <alignment/>
      <protection/>
    </xf>
    <xf numFmtId="0" fontId="24" fillId="11" borderId="5" xfId="0" applyFont="1" applyFill="1" applyBorder="1" applyAlignment="1" applyProtection="1">
      <alignment/>
      <protection/>
    </xf>
    <xf numFmtId="0" fontId="30" fillId="11" borderId="2" xfId="0" applyFont="1" applyFill="1" applyBorder="1" applyAlignment="1" applyProtection="1">
      <alignment/>
      <protection/>
    </xf>
    <xf numFmtId="178" fontId="30" fillId="11" borderId="2" xfId="0" applyNumberFormat="1" applyFont="1" applyFill="1" applyBorder="1" applyAlignment="1" applyProtection="1">
      <alignment/>
      <protection/>
    </xf>
    <xf numFmtId="0" fontId="30" fillId="11" borderId="5" xfId="0" applyFont="1" applyFill="1" applyBorder="1" applyAlignment="1" applyProtection="1">
      <alignment/>
      <protection/>
    </xf>
    <xf numFmtId="0" fontId="24" fillId="2" borderId="1" xfId="0" applyFont="1" applyFill="1" applyBorder="1" applyAlignment="1" applyProtection="1">
      <alignment/>
      <protection/>
    </xf>
    <xf numFmtId="0" fontId="24" fillId="2" borderId="2" xfId="0" applyFont="1" applyFill="1" applyBorder="1" applyAlignment="1" applyProtection="1">
      <alignment/>
      <protection/>
    </xf>
    <xf numFmtId="178" fontId="24" fillId="2" borderId="5" xfId="0" applyNumberFormat="1" applyFont="1" applyFill="1" applyBorder="1" applyAlignment="1" applyProtection="1">
      <alignment/>
      <protection/>
    </xf>
    <xf numFmtId="178" fontId="24" fillId="3" borderId="13" xfId="0" applyNumberFormat="1" applyFont="1" applyFill="1" applyBorder="1" applyAlignment="1" applyProtection="1">
      <alignment horizontal="center"/>
      <protection/>
    </xf>
    <xf numFmtId="0" fontId="24" fillId="4" borderId="18" xfId="0" applyFont="1" applyFill="1" applyBorder="1" applyAlignment="1" applyProtection="1">
      <alignment/>
      <protection/>
    </xf>
    <xf numFmtId="0" fontId="24" fillId="3" borderId="3" xfId="0" applyFont="1" applyFill="1" applyBorder="1" applyAlignment="1" applyProtection="1">
      <alignment horizontal="left"/>
      <protection/>
    </xf>
    <xf numFmtId="0" fontId="24" fillId="3" borderId="0" xfId="0" applyFont="1" applyFill="1" applyBorder="1" applyAlignment="1" applyProtection="1">
      <alignment horizontal="left"/>
      <protection/>
    </xf>
    <xf numFmtId="178" fontId="24" fillId="3" borderId="4" xfId="0" applyNumberFormat="1" applyFont="1" applyFill="1" applyBorder="1" applyAlignment="1" applyProtection="1">
      <alignment horizontal="center"/>
      <protection/>
    </xf>
    <xf numFmtId="0" fontId="24" fillId="4" borderId="0" xfId="0" applyFont="1" applyFill="1" applyBorder="1" applyAlignment="1" applyProtection="1">
      <alignment/>
      <protection/>
    </xf>
    <xf numFmtId="0" fontId="26" fillId="3" borderId="3" xfId="0" applyFont="1" applyFill="1" applyBorder="1" applyAlignment="1" applyProtection="1">
      <alignment horizontal="left"/>
      <protection/>
    </xf>
    <xf numFmtId="0" fontId="26" fillId="3" borderId="0" xfId="0" applyFont="1" applyFill="1" applyBorder="1" applyAlignment="1" applyProtection="1">
      <alignment horizontal="left"/>
      <protection/>
    </xf>
    <xf numFmtId="0" fontId="24" fillId="3" borderId="4" xfId="0" applyFont="1" applyFill="1" applyBorder="1" applyAlignment="1" applyProtection="1">
      <alignment horizontal="center"/>
      <protection/>
    </xf>
    <xf numFmtId="0" fontId="24" fillId="3" borderId="1" xfId="0" applyFont="1" applyFill="1" applyBorder="1" applyAlignment="1" applyProtection="1">
      <alignment horizontal="left"/>
      <protection/>
    </xf>
    <xf numFmtId="0" fontId="24" fillId="3" borderId="2" xfId="0" applyFont="1" applyFill="1" applyBorder="1" applyAlignment="1" applyProtection="1">
      <alignment horizontal="left"/>
      <protection/>
    </xf>
    <xf numFmtId="0" fontId="24" fillId="3" borderId="5" xfId="0" applyFont="1" applyFill="1" applyBorder="1" applyAlignment="1" applyProtection="1">
      <alignment horizontal="center"/>
      <protection/>
    </xf>
    <xf numFmtId="0" fontId="28" fillId="4" borderId="0" xfId="0" applyFont="1" applyFill="1" applyBorder="1" applyAlignment="1" applyProtection="1">
      <alignment horizontal="center" vertical="center"/>
      <protection/>
    </xf>
    <xf numFmtId="0" fontId="24" fillId="4" borderId="2" xfId="0" applyFont="1" applyFill="1" applyBorder="1" applyAlignment="1" applyProtection="1">
      <alignment/>
      <protection/>
    </xf>
    <xf numFmtId="0" fontId="26" fillId="4" borderId="0" xfId="0" applyFont="1" applyFill="1" applyAlignment="1" applyProtection="1">
      <alignment horizontal="left"/>
      <protection/>
    </xf>
    <xf numFmtId="178" fontId="24" fillId="4" borderId="0" xfId="0" applyNumberFormat="1" applyFont="1" applyFill="1" applyAlignment="1" applyProtection="1">
      <alignment/>
      <protection/>
    </xf>
    <xf numFmtId="0" fontId="26" fillId="4" borderId="0" xfId="0" applyFont="1" applyFill="1" applyBorder="1" applyAlignment="1" applyProtection="1">
      <alignment horizontal="left"/>
      <protection/>
    </xf>
    <xf numFmtId="178" fontId="24" fillId="4" borderId="0" xfId="0" applyNumberFormat="1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left"/>
      <protection/>
    </xf>
    <xf numFmtId="0" fontId="24" fillId="4" borderId="0" xfId="0" applyFont="1" applyFill="1" applyBorder="1" applyAlignment="1" applyProtection="1">
      <alignment horizontal="center"/>
      <protection/>
    </xf>
    <xf numFmtId="178" fontId="27" fillId="4" borderId="0" xfId="0" applyNumberFormat="1" applyFont="1" applyFill="1" applyBorder="1" applyAlignment="1" applyProtection="1">
      <alignment horizontal="center"/>
      <protection/>
    </xf>
    <xf numFmtId="1" fontId="24" fillId="4" borderId="0" xfId="0" applyNumberFormat="1" applyFont="1" applyFill="1" applyBorder="1" applyAlignment="1" applyProtection="1">
      <alignment horizontal="center"/>
      <protection/>
    </xf>
    <xf numFmtId="0" fontId="25" fillId="4" borderId="0" xfId="0" applyFont="1" applyFill="1" applyBorder="1" applyAlignment="1" applyProtection="1">
      <alignment horizontal="center"/>
      <protection/>
    </xf>
    <xf numFmtId="2" fontId="24" fillId="4" borderId="0" xfId="0" applyNumberFormat="1" applyFont="1" applyFill="1" applyBorder="1" applyAlignment="1" applyProtection="1">
      <alignment/>
      <protection/>
    </xf>
    <xf numFmtId="2" fontId="24" fillId="4" borderId="0" xfId="0" applyNumberFormat="1" applyFont="1" applyFill="1" applyBorder="1" applyAlignment="1" applyProtection="1">
      <alignment horizontal="center"/>
      <protection/>
    </xf>
    <xf numFmtId="0" fontId="12" fillId="3" borderId="18" xfId="0" applyFont="1" applyFill="1" applyBorder="1" applyAlignment="1" applyProtection="1">
      <alignment/>
      <protection locked="0"/>
    </xf>
    <xf numFmtId="0" fontId="12" fillId="3" borderId="2" xfId="0" applyFon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/>
    </xf>
    <xf numFmtId="0" fontId="3" fillId="3" borderId="12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2" fontId="3" fillId="3" borderId="4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/>
      <protection/>
    </xf>
    <xf numFmtId="0" fontId="9" fillId="4" borderId="3" xfId="0" applyFont="1" applyFill="1" applyBorder="1" applyAlignment="1" applyProtection="1">
      <alignment/>
      <protection/>
    </xf>
    <xf numFmtId="178" fontId="27" fillId="3" borderId="4" xfId="0" applyNumberFormat="1" applyFont="1" applyFill="1" applyBorder="1" applyAlignment="1" applyProtection="1">
      <alignment horizontal="left"/>
      <protection/>
    </xf>
    <xf numFmtId="0" fontId="24" fillId="3" borderId="12" xfId="0" applyFont="1" applyFill="1" applyBorder="1" applyAlignment="1" applyProtection="1">
      <alignment horizontal="left"/>
      <protection/>
    </xf>
    <xf numFmtId="0" fontId="24" fillId="3" borderId="18" xfId="0" applyFont="1" applyFill="1" applyBorder="1" applyAlignment="1" applyProtection="1">
      <alignment horizontal="left"/>
      <protection/>
    </xf>
    <xf numFmtId="2" fontId="0" fillId="8" borderId="12" xfId="0" applyNumberFormat="1" applyFill="1" applyBorder="1" applyAlignment="1">
      <alignment/>
    </xf>
    <xf numFmtId="2" fontId="0" fillId="8" borderId="18" xfId="0" applyNumberFormat="1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3" xfId="0" applyFill="1" applyBorder="1" applyAlignment="1">
      <alignment/>
    </xf>
    <xf numFmtId="2" fontId="0" fillId="8" borderId="3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3" xfId="0" applyFill="1" applyBorder="1" applyAlignment="1">
      <alignment/>
    </xf>
    <xf numFmtId="2" fontId="0" fillId="8" borderId="1" xfId="0" applyNumberFormat="1" applyFill="1" applyBorder="1" applyAlignment="1">
      <alignment/>
    </xf>
    <xf numFmtId="2" fontId="0" fillId="8" borderId="2" xfId="0" applyNumberFormat="1" applyFill="1" applyBorder="1" applyAlignment="1">
      <alignment/>
    </xf>
    <xf numFmtId="2" fontId="0" fillId="8" borderId="5" xfId="0" applyNumberFormat="1" applyFill="1" applyBorder="1" applyAlignment="1">
      <alignment/>
    </xf>
    <xf numFmtId="0" fontId="0" fillId="8" borderId="23" xfId="0" applyFill="1" applyBorder="1" applyAlignment="1">
      <alignment/>
    </xf>
    <xf numFmtId="1" fontId="3" fillId="3" borderId="4" xfId="0" applyNumberFormat="1" applyFont="1" applyFill="1" applyBorder="1" applyAlignment="1" applyProtection="1">
      <alignment/>
      <protection/>
    </xf>
    <xf numFmtId="0" fontId="28" fillId="4" borderId="2" xfId="0" applyFont="1" applyFill="1" applyBorder="1" applyAlignment="1" applyProtection="1">
      <alignment horizontal="center" vertical="center"/>
      <protection/>
    </xf>
    <xf numFmtId="0" fontId="26" fillId="3" borderId="3" xfId="0" applyFont="1" applyFill="1" applyBorder="1" applyAlignment="1" applyProtection="1">
      <alignment horizontal="left"/>
      <protection/>
    </xf>
    <xf numFmtId="0" fontId="26" fillId="3" borderId="0" xfId="0" applyFont="1" applyFill="1" applyBorder="1" applyAlignment="1" applyProtection="1">
      <alignment horizontal="left"/>
      <protection/>
    </xf>
    <xf numFmtId="178" fontId="27" fillId="3" borderId="0" xfId="0" applyNumberFormat="1" applyFont="1" applyFill="1" applyBorder="1" applyAlignment="1" applyProtection="1">
      <alignment horizontal="left"/>
      <protection/>
    </xf>
    <xf numFmtId="179" fontId="0" fillId="3" borderId="10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/>
      <protection locked="0"/>
    </xf>
    <xf numFmtId="0" fontId="24" fillId="3" borderId="1" xfId="0" applyFont="1" applyFill="1" applyBorder="1" applyAlignment="1" applyProtection="1">
      <alignment horizontal="left"/>
      <protection/>
    </xf>
    <xf numFmtId="0" fontId="24" fillId="3" borderId="2" xfId="0" applyFont="1" applyFill="1" applyBorder="1" applyAlignment="1" applyProtection="1">
      <alignment horizontal="left"/>
      <protection/>
    </xf>
    <xf numFmtId="178" fontId="27" fillId="3" borderId="2" xfId="0" applyNumberFormat="1" applyFont="1" applyFill="1" applyBorder="1" applyAlignment="1" applyProtection="1">
      <alignment horizontal="left"/>
      <protection/>
    </xf>
    <xf numFmtId="178" fontId="27" fillId="3" borderId="5" xfId="0" applyNumberFormat="1" applyFont="1" applyFill="1" applyBorder="1" applyAlignment="1" applyProtection="1">
      <alignment horizontal="left"/>
      <protection/>
    </xf>
    <xf numFmtId="0" fontId="24" fillId="4" borderId="0" xfId="0" applyFont="1" applyFill="1" applyBorder="1" applyAlignment="1" applyProtection="1">
      <alignment horizontal="left"/>
      <protection/>
    </xf>
    <xf numFmtId="178" fontId="27" fillId="4" borderId="0" xfId="0" applyNumberFormat="1" applyFont="1" applyFill="1" applyBorder="1" applyAlignment="1" applyProtection="1">
      <alignment horizontal="center"/>
      <protection/>
    </xf>
    <xf numFmtId="0" fontId="26" fillId="4" borderId="0" xfId="0" applyFont="1" applyFill="1" applyBorder="1" applyAlignment="1" applyProtection="1">
      <alignment horizontal="left"/>
      <protection/>
    </xf>
    <xf numFmtId="0" fontId="29" fillId="4" borderId="0" xfId="0" applyFont="1" applyFill="1" applyBorder="1" applyAlignment="1" applyProtection="1">
      <alignment horizontal="center"/>
      <protection/>
    </xf>
    <xf numFmtId="0" fontId="24" fillId="3" borderId="3" xfId="0" applyFont="1" applyFill="1" applyBorder="1" applyAlignment="1" applyProtection="1">
      <alignment horizontal="left"/>
      <protection/>
    </xf>
    <xf numFmtId="0" fontId="24" fillId="3" borderId="0" xfId="0" applyFont="1" applyFill="1" applyBorder="1" applyAlignment="1" applyProtection="1">
      <alignment horizontal="left"/>
      <protection/>
    </xf>
    <xf numFmtId="0" fontId="28" fillId="4" borderId="3" xfId="0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 horizontal="center" vertical="center"/>
      <protection/>
    </xf>
    <xf numFmtId="0" fontId="28" fillId="4" borderId="1" xfId="0" applyFont="1" applyFill="1" applyBorder="1" applyAlignment="1" applyProtection="1">
      <alignment horizontal="center" vertical="center"/>
      <protection/>
    </xf>
    <xf numFmtId="0" fontId="26" fillId="3" borderId="12" xfId="0" applyFont="1" applyFill="1" applyBorder="1" applyAlignment="1" applyProtection="1">
      <alignment horizontal="left"/>
      <protection/>
    </xf>
    <xf numFmtId="0" fontId="26" fillId="3" borderId="18" xfId="0" applyFont="1" applyFill="1" applyBorder="1" applyAlignment="1" applyProtection="1">
      <alignment horizontal="left"/>
      <protection/>
    </xf>
    <xf numFmtId="0" fontId="24" fillId="2" borderId="20" xfId="0" applyFont="1" applyFill="1" applyBorder="1" applyAlignment="1" applyProtection="1">
      <alignment horizontal="left"/>
      <protection/>
    </xf>
    <xf numFmtId="0" fontId="24" fillId="2" borderId="21" xfId="0" applyFont="1" applyFill="1" applyBorder="1" applyAlignment="1" applyProtection="1">
      <alignment horizontal="left"/>
      <protection/>
    </xf>
    <xf numFmtId="0" fontId="24" fillId="2" borderId="22" xfId="0" applyFont="1" applyFill="1" applyBorder="1" applyAlignment="1" applyProtection="1">
      <alignment horizontal="left"/>
      <protection/>
    </xf>
    <xf numFmtId="0" fontId="9" fillId="12" borderId="12" xfId="0" applyFont="1" applyFill="1" applyBorder="1" applyAlignment="1" applyProtection="1">
      <alignment horizontal="center" vertical="center"/>
      <protection/>
    </xf>
    <xf numFmtId="0" fontId="9" fillId="12" borderId="18" xfId="0" applyFont="1" applyFill="1" applyBorder="1" applyAlignment="1" applyProtection="1">
      <alignment horizontal="center" vertical="center"/>
      <protection/>
    </xf>
    <xf numFmtId="0" fontId="9" fillId="12" borderId="13" xfId="0" applyFont="1" applyFill="1" applyBorder="1" applyAlignment="1" applyProtection="1">
      <alignment horizontal="center" vertical="center"/>
      <protection/>
    </xf>
    <xf numFmtId="0" fontId="9" fillId="12" borderId="1" xfId="0" applyFont="1" applyFill="1" applyBorder="1" applyAlignment="1" applyProtection="1">
      <alignment horizontal="center" vertical="center"/>
      <protection/>
    </xf>
    <xf numFmtId="0" fontId="9" fillId="12" borderId="2" xfId="0" applyFont="1" applyFill="1" applyBorder="1" applyAlignment="1" applyProtection="1">
      <alignment horizontal="center" vertical="center"/>
      <protection/>
    </xf>
    <xf numFmtId="0" fontId="9" fillId="12" borderId="5" xfId="0" applyFont="1" applyFill="1" applyBorder="1" applyAlignment="1" applyProtection="1">
      <alignment horizontal="center" vertical="center"/>
      <protection/>
    </xf>
    <xf numFmtId="178" fontId="27" fillId="3" borderId="18" xfId="0" applyNumberFormat="1" applyFont="1" applyFill="1" applyBorder="1" applyAlignment="1" applyProtection="1">
      <alignment horizontal="left"/>
      <protection/>
    </xf>
    <xf numFmtId="178" fontId="27" fillId="3" borderId="13" xfId="0" applyNumberFormat="1" applyFont="1" applyFill="1" applyBorder="1" applyAlignment="1" applyProtection="1">
      <alignment horizontal="left"/>
      <protection/>
    </xf>
    <xf numFmtId="0" fontId="9" fillId="4" borderId="18" xfId="0" applyFont="1" applyFill="1" applyBorder="1" applyAlignment="1" applyProtection="1">
      <alignment horizontal="center"/>
      <protection/>
    </xf>
    <xf numFmtId="0" fontId="2" fillId="8" borderId="0" xfId="0" applyFont="1" applyFill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2" fontId="9" fillId="3" borderId="25" xfId="0" applyNumberFormat="1" applyFont="1" applyFill="1" applyBorder="1" applyAlignment="1" applyProtection="1">
      <alignment horizontal="center"/>
      <protection locked="0"/>
    </xf>
    <xf numFmtId="2" fontId="9" fillId="3" borderId="26" xfId="0" applyNumberFormat="1" applyFon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12" xfId="0" applyFill="1" applyBorder="1" applyAlignment="1">
      <alignment/>
    </xf>
    <xf numFmtId="2" fontId="0" fillId="2" borderId="18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Integrazione numerica Megatex 14</a:t>
            </a:r>
          </a:p>
        </c:rich>
      </c:tx>
      <c:layout>
        <c:manualLayout>
          <c:xMode val="factor"/>
          <c:yMode val="factor"/>
          <c:x val="-0.041"/>
          <c:y val="-0.0185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7325"/>
          <c:w val="0.54125"/>
          <c:h val="0.70175"/>
        </c:manualLayout>
      </c:layout>
      <c:scatterChart>
        <c:scatterStyle val="smoothMarker"/>
        <c:varyColors val="0"/>
        <c:ser>
          <c:idx val="0"/>
          <c:order val="0"/>
          <c:tx>
            <c:v>Carico 14 mm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Database_Tabelle!$F$71:$F$81</c:f>
              <c:numCache>
                <c:ptCount val="11"/>
                <c:pt idx="0">
                  <c:v>0</c:v>
                </c:pt>
                <c:pt idx="1">
                  <c:v>4.990145247288105</c:v>
                </c:pt>
                <c:pt idx="2">
                  <c:v>12.475363118220262</c:v>
                </c:pt>
                <c:pt idx="3">
                  <c:v>24.18301158301158</c:v>
                </c:pt>
                <c:pt idx="4">
                  <c:v>39.05748299319728</c:v>
                </c:pt>
                <c:pt idx="5">
                  <c:v>48.461987497701784</c:v>
                </c:pt>
                <c:pt idx="6">
                  <c:v>57.48263467549182</c:v>
                </c:pt>
                <c:pt idx="7">
                  <c:v>65.63960286817432</c:v>
                </c:pt>
                <c:pt idx="8">
                  <c:v>79.65039529325244</c:v>
                </c:pt>
              </c:numCache>
            </c:numRef>
          </c:xVal>
          <c:yVal>
            <c:numRef>
              <c:f>Database_Tabelle!$B$59:$B$67</c:f>
              <c:numCache>
                <c:ptCount val="9"/>
                <c:pt idx="0">
                  <c:v>0</c:v>
                </c:pt>
                <c:pt idx="1">
                  <c:v>3.78</c:v>
                </c:pt>
                <c:pt idx="2">
                  <c:v>6.91</c:v>
                </c:pt>
                <c:pt idx="3">
                  <c:v>10.03</c:v>
                </c:pt>
                <c:pt idx="4">
                  <c:v>13.16</c:v>
                </c:pt>
                <c:pt idx="5">
                  <c:v>15.17</c:v>
                </c:pt>
                <c:pt idx="6">
                  <c:v>17.18</c:v>
                </c:pt>
                <c:pt idx="7">
                  <c:v>19.2</c:v>
                </c:pt>
                <c:pt idx="8">
                  <c:v>23</c:v>
                </c:pt>
              </c:numCache>
            </c:numRef>
          </c:yVal>
          <c:smooth val="1"/>
        </c:ser>
        <c:ser>
          <c:idx val="1"/>
          <c:order val="1"/>
          <c:tx>
            <c:v>Scarico 14 mm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Database_Tabelle!$G$71:$G$81</c:f>
              <c:numCache>
                <c:ptCount val="11"/>
                <c:pt idx="0">
                  <c:v>1.34350064350064</c:v>
                </c:pt>
                <c:pt idx="1">
                  <c:v>7.101360544217691</c:v>
                </c:pt>
                <c:pt idx="2">
                  <c:v>16.12200772200772</c:v>
                </c:pt>
                <c:pt idx="3">
                  <c:v>29.46104982533554</c:v>
                </c:pt>
                <c:pt idx="4">
                  <c:v>45.295164552307426</c:v>
                </c:pt>
                <c:pt idx="5">
                  <c:v>54.219847398418835</c:v>
                </c:pt>
                <c:pt idx="6">
                  <c:v>62.37681559110132</c:v>
                </c:pt>
                <c:pt idx="7">
                  <c:v>69.09431880860453</c:v>
                </c:pt>
                <c:pt idx="8">
                  <c:v>79.65039529325244</c:v>
                </c:pt>
              </c:numCache>
            </c:numRef>
          </c:xVal>
          <c:yVal>
            <c:numRef>
              <c:f>Database_Tabelle!$B$59:$B$67</c:f>
              <c:numCache>
                <c:ptCount val="9"/>
                <c:pt idx="0">
                  <c:v>0</c:v>
                </c:pt>
                <c:pt idx="1">
                  <c:v>3.78</c:v>
                </c:pt>
                <c:pt idx="2">
                  <c:v>6.91</c:v>
                </c:pt>
                <c:pt idx="3">
                  <c:v>10.03</c:v>
                </c:pt>
                <c:pt idx="4">
                  <c:v>13.16</c:v>
                </c:pt>
                <c:pt idx="5">
                  <c:v>15.17</c:v>
                </c:pt>
                <c:pt idx="6">
                  <c:v>17.18</c:v>
                </c:pt>
                <c:pt idx="7">
                  <c:v>19.2</c:v>
                </c:pt>
                <c:pt idx="8">
                  <c:v>23</c:v>
                </c:pt>
              </c:numCache>
            </c:numRef>
          </c:yVal>
          <c:smooth val="1"/>
        </c:ser>
        <c:ser>
          <c:idx val="4"/>
          <c:order val="2"/>
          <c:tx>
            <c:v>ntegrazione numerica 14 mm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'Database 14'!$Y$2:$Y$201</c:f>
              <c:numCache>
                <c:ptCount val="2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</c:numCache>
            </c:numRef>
          </c:xVal>
          <c:yVal>
            <c:numRef>
              <c:f>'Database 14'!$Z$2:$Z$201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0.46983884502716083</c:v>
                </c:pt>
                <c:pt idx="3">
                  <c:v>1.1785824201544741</c:v>
                </c:pt>
                <c:pt idx="4">
                  <c:v>1.869350898308442</c:v>
                </c:pt>
                <c:pt idx="5">
                  <c:v>2.5312930244597043</c:v>
                </c:pt>
                <c:pt idx="6">
                  <c:v>3.1535575435789016</c:v>
                </c:pt>
                <c:pt idx="7">
                  <c:v>3.725293200636674</c:v>
                </c:pt>
                <c:pt idx="8">
                  <c:v>4.237783551706711</c:v>
                </c:pt>
                <c:pt idx="9">
                  <c:v>4.69390692909144</c:v>
                </c:pt>
                <c:pt idx="10">
                  <c:v>5.100459402235215</c:v>
                </c:pt>
                <c:pt idx="11">
                  <c:v>5.4642401040253965</c:v>
                </c:pt>
                <c:pt idx="12">
                  <c:v>5.792048167349346</c:v>
                </c:pt>
                <c:pt idx="13">
                  <c:v>6.090682725094426</c:v>
                </c:pt>
                <c:pt idx="14">
                  <c:v>6.366942910147998</c:v>
                </c:pt>
                <c:pt idx="15">
                  <c:v>6.627627855397423</c:v>
                </c:pt>
                <c:pt idx="16">
                  <c:v>6.879536693730062</c:v>
                </c:pt>
                <c:pt idx="17">
                  <c:v>7.128670997299045</c:v>
                </c:pt>
                <c:pt idx="18">
                  <c:v>7.37641757805219</c:v>
                </c:pt>
                <c:pt idx="19">
                  <c:v>7.622507326300021</c:v>
                </c:pt>
                <c:pt idx="20">
                  <c:v>7.866668992156647</c:v>
                </c:pt>
                <c:pt idx="21">
                  <c:v>8.108631325736178</c:v>
                </c:pt>
                <c:pt idx="22">
                  <c:v>8.348123077152724</c:v>
                </c:pt>
                <c:pt idx="23">
                  <c:v>8.584872996520398</c:v>
                </c:pt>
                <c:pt idx="24">
                  <c:v>8.81860983395331</c:v>
                </c:pt>
                <c:pt idx="25">
                  <c:v>9.049062339565571</c:v>
                </c:pt>
                <c:pt idx="26">
                  <c:v>9.27595926347129</c:v>
                </c:pt>
                <c:pt idx="27">
                  <c:v>9.499029355784579</c:v>
                </c:pt>
                <c:pt idx="28">
                  <c:v>9.718001366619546</c:v>
                </c:pt>
                <c:pt idx="29">
                  <c:v>9.93260404609031</c:v>
                </c:pt>
                <c:pt idx="30">
                  <c:v>10.142588984414823</c:v>
                </c:pt>
                <c:pt idx="31">
                  <c:v>10.348148183928101</c:v>
                </c:pt>
                <c:pt idx="32">
                  <c:v>10.549871489883447</c:v>
                </c:pt>
                <c:pt idx="33">
                  <c:v>10.748363046209606</c:v>
                </c:pt>
                <c:pt idx="34">
                  <c:v>10.944226996835331</c:v>
                </c:pt>
                <c:pt idx="35">
                  <c:v>11.138067485689378</c:v>
                </c:pt>
                <c:pt idx="36">
                  <c:v>11.330488656700489</c:v>
                </c:pt>
                <c:pt idx="37">
                  <c:v>11.52209465379742</c:v>
                </c:pt>
                <c:pt idx="38">
                  <c:v>11.713489620908927</c:v>
                </c:pt>
                <c:pt idx="39">
                  <c:v>11.905277701963753</c:v>
                </c:pt>
                <c:pt idx="40">
                  <c:v>12.098063040890652</c:v>
                </c:pt>
                <c:pt idx="41">
                  <c:v>12.292449781618377</c:v>
                </c:pt>
                <c:pt idx="42">
                  <c:v>12.489042068075678</c:v>
                </c:pt>
                <c:pt idx="43">
                  <c:v>12.688444044191305</c:v>
                </c:pt>
                <c:pt idx="44">
                  <c:v>12.891259853894011</c:v>
                </c:pt>
                <c:pt idx="45">
                  <c:v>13.098093641112548</c:v>
                </c:pt>
                <c:pt idx="46">
                  <c:v>13.309485110698148</c:v>
                </c:pt>
                <c:pt idx="47">
                  <c:v>13.525319852605765</c:v>
                </c:pt>
                <c:pt idx="48">
                  <c:v>13.745102569551923</c:v>
                </c:pt>
                <c:pt idx="49">
                  <c:v>13.968333231883063</c:v>
                </c:pt>
                <c:pt idx="50">
                  <c:v>14.194511809945617</c:v>
                </c:pt>
                <c:pt idx="51">
                  <c:v>14.42313827408602</c:v>
                </c:pt>
                <c:pt idx="52">
                  <c:v>14.65371259465071</c:v>
                </c:pt>
                <c:pt idx="53">
                  <c:v>14.88573474198612</c:v>
                </c:pt>
                <c:pt idx="54">
                  <c:v>15.118704686438685</c:v>
                </c:pt>
                <c:pt idx="55">
                  <c:v>15.35224527846313</c:v>
                </c:pt>
                <c:pt idx="56">
                  <c:v>15.586947719486462</c:v>
                </c:pt>
                <c:pt idx="57">
                  <c:v>15.823861953613546</c:v>
                </c:pt>
                <c:pt idx="58">
                  <c:v>16.064040674785883</c:v>
                </c:pt>
                <c:pt idx="59">
                  <c:v>16.308536576944967</c:v>
                </c:pt>
                <c:pt idx="60">
                  <c:v>16.558402354032307</c:v>
                </c:pt>
                <c:pt idx="61">
                  <c:v>16.814690699989388</c:v>
                </c:pt>
                <c:pt idx="62">
                  <c:v>17.07845430875772</c:v>
                </c:pt>
                <c:pt idx="63">
                  <c:v>17.350701218736265</c:v>
                </c:pt>
                <c:pt idx="64">
                  <c:v>17.63182899562513</c:v>
                </c:pt>
                <c:pt idx="65">
                  <c:v>17.921793130938138</c:v>
                </c:pt>
                <c:pt idx="66">
                  <c:v>18.220539244028245</c:v>
                </c:pt>
                <c:pt idx="67">
                  <c:v>18.528012954248414</c:v>
                </c:pt>
                <c:pt idx="68">
                  <c:v>18.844159880951604</c:v>
                </c:pt>
                <c:pt idx="69">
                  <c:v>19.168925643490777</c:v>
                </c:pt>
                <c:pt idx="70">
                  <c:v>19.50216219943919</c:v>
                </c:pt>
                <c:pt idx="71">
                  <c:v>19.843223609959004</c:v>
                </c:pt>
                <c:pt idx="72">
                  <c:v>20.191299137330525</c:v>
                </c:pt>
                <c:pt idx="73">
                  <c:v>20.545577938047302</c:v>
                </c:pt>
                <c:pt idx="74">
                  <c:v>20.905249168602904</c:v>
                </c:pt>
                <c:pt idx="75">
                  <c:v>21.269501985490876</c:v>
                </c:pt>
                <c:pt idx="76">
                  <c:v>21.63752554520478</c:v>
                </c:pt>
                <c:pt idx="77">
                  <c:v>22.008509004238174</c:v>
                </c:pt>
                <c:pt idx="78">
                  <c:v>22.381641519084607</c:v>
                </c:pt>
                <c:pt idx="79">
                  <c:v>22.75611224623764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29404632"/>
        <c:axId val="63315097"/>
      </c:scatterChart>
      <c:valAx>
        <c:axId val="2940463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Allungamento (cm)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crossBetween val="midCat"/>
        <c:dispUnits/>
      </c:valAx>
      <c:valAx>
        <c:axId val="6331509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Peso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crossBetween val="midCat"/>
        <c:dispUnits/>
        <c:majorUnit val="2"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295"/>
          <c:w val="0.37025"/>
          <c:h val="0.35125"/>
        </c:manualLayout>
      </c:layout>
      <c:overlay val="0"/>
      <c:spPr>
        <a:solidFill>
          <a:srgbClr val="808080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Grafico Distanza percorsa / Velocità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275"/>
          <c:w val="0.92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Modello previsionale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Database_Tabelle!$C$11:$AI$11</c:f>
              <c:numCache>
                <c:ptCount val="33"/>
                <c:pt idx="0">
                  <c:v>0</c:v>
                </c:pt>
                <c:pt idx="1">
                  <c:v>0.0735</c:v>
                </c:pt>
                <c:pt idx="2">
                  <c:v>0.147</c:v>
                </c:pt>
                <c:pt idx="3">
                  <c:v>0.22049999999999997</c:v>
                </c:pt>
                <c:pt idx="4">
                  <c:v>0.294</c:v>
                </c:pt>
                <c:pt idx="5">
                  <c:v>0.3675</c:v>
                </c:pt>
                <c:pt idx="6">
                  <c:v>0.44099999999999995</c:v>
                </c:pt>
                <c:pt idx="7">
                  <c:v>0.5145</c:v>
                </c:pt>
                <c:pt idx="8">
                  <c:v>0.588</c:v>
                </c:pt>
                <c:pt idx="9">
                  <c:v>0.6614999999999999</c:v>
                </c:pt>
                <c:pt idx="10">
                  <c:v>0.735</c:v>
                </c:pt>
                <c:pt idx="11">
                  <c:v>0.985</c:v>
                </c:pt>
                <c:pt idx="12">
                  <c:v>1.2349999999999999</c:v>
                </c:pt>
                <c:pt idx="13">
                  <c:v>1.4849999999999999</c:v>
                </c:pt>
                <c:pt idx="14">
                  <c:v>1.7349999999999999</c:v>
                </c:pt>
                <c:pt idx="15">
                  <c:v>1.9849999999999999</c:v>
                </c:pt>
                <c:pt idx="16">
                  <c:v>2.235</c:v>
                </c:pt>
                <c:pt idx="17">
                  <c:v>2.485</c:v>
                </c:pt>
                <c:pt idx="18">
                  <c:v>2.735</c:v>
                </c:pt>
                <c:pt idx="19">
                  <c:v>2.985</c:v>
                </c:pt>
                <c:pt idx="20">
                  <c:v>3.235</c:v>
                </c:pt>
                <c:pt idx="21">
                  <c:v>3.485</c:v>
                </c:pt>
                <c:pt idx="22">
                  <c:v>3.735</c:v>
                </c:pt>
                <c:pt idx="23">
                  <c:v>3.985</c:v>
                </c:pt>
                <c:pt idx="24">
                  <c:v>4.234999999999999</c:v>
                </c:pt>
                <c:pt idx="25">
                  <c:v>4.484999999999999</c:v>
                </c:pt>
                <c:pt idx="26">
                  <c:v>4.734999999999999</c:v>
                </c:pt>
                <c:pt idx="27">
                  <c:v>4.984999999999999</c:v>
                </c:pt>
                <c:pt idx="28">
                  <c:v>5.234999999999999</c:v>
                </c:pt>
                <c:pt idx="29">
                  <c:v>5.484999999999999</c:v>
                </c:pt>
                <c:pt idx="30">
                  <c:v>5.734999999999999</c:v>
                </c:pt>
                <c:pt idx="31">
                  <c:v>5.984999999999999</c:v>
                </c:pt>
                <c:pt idx="32">
                  <c:v>6.234999999999999</c:v>
                </c:pt>
              </c:numCache>
            </c:numRef>
          </c:xVal>
          <c:yVal>
            <c:numRef>
              <c:f>Database_Tabelle!$C$17:$AI$17</c:f>
              <c:numCache>
                <c:ptCount val="33"/>
                <c:pt idx="0">
                  <c:v>0</c:v>
                </c:pt>
                <c:pt idx="1">
                  <c:v>10.87311390185812</c:v>
                </c:pt>
                <c:pt idx="2">
                  <c:v>14.966780431517938</c:v>
                </c:pt>
                <c:pt idx="3">
                  <c:v>17.8140318762335</c:v>
                </c:pt>
                <c:pt idx="4">
                  <c:v>19.955707242023916</c:v>
                </c:pt>
                <c:pt idx="5">
                  <c:v>21.602686777597263</c:v>
                </c:pt>
                <c:pt idx="6">
                  <c:v>22.86213474573826</c:v>
                </c:pt>
                <c:pt idx="7">
                  <c:v>23.795664287708316</c:v>
                </c:pt>
                <c:pt idx="8">
                  <c:v>24.440650099660786</c:v>
                </c:pt>
                <c:pt idx="9">
                  <c:v>24.81959750548924</c:v>
                </c:pt>
                <c:pt idx="10">
                  <c:v>24.944634052529896</c:v>
                </c:pt>
                <c:pt idx="11">
                  <c:v>23.214142401320977</c:v>
                </c:pt>
                <c:pt idx="12">
                  <c:v>21.603700671413673</c:v>
                </c:pt>
                <c:pt idx="13">
                  <c:v>20.104980603267144</c:v>
                </c:pt>
                <c:pt idx="14">
                  <c:v>18.71023169621142</c:v>
                </c:pt>
                <c:pt idx="15">
                  <c:v>17.412241127406322</c:v>
                </c:pt>
                <c:pt idx="16">
                  <c:v>16.20429645135455</c:v>
                </c:pt>
                <c:pt idx="17">
                  <c:v>15.080150887072787</c:v>
                </c:pt>
                <c:pt idx="18">
                  <c:v>14.033991013406345</c:v>
                </c:pt>
                <c:pt idx="19">
                  <c:v>13.060406705426585</c:v>
                </c:pt>
                <c:pt idx="20">
                  <c:v>12.154363156439686</c:v>
                </c:pt>
                <c:pt idx="21">
                  <c:v>11.311174840921103</c:v>
                </c:pt>
                <c:pt idx="22">
                  <c:v>10.526481283727263</c:v>
                </c:pt>
                <c:pt idx="23">
                  <c:v>9.79622451027704</c:v>
                </c:pt>
                <c:pt idx="24">
                  <c:v>9.116628061088674</c:v>
                </c:pt>
                <c:pt idx="25">
                  <c:v>8.4841774621475</c:v>
                </c:pt>
                <c:pt idx="26">
                  <c:v>7.895602050108851</c:v>
                </c:pt>
                <c:pt idx="27">
                  <c:v>7.347858058346598</c:v>
                </c:pt>
                <c:pt idx="28">
                  <c:v>6.838112876378399</c:v>
                </c:pt>
                <c:pt idx="29">
                  <c:v>6.363730401266608</c:v>
                </c:pt>
                <c:pt idx="30">
                  <c:v>5.9222574052408605</c:v>
                </c:pt>
                <c:pt idx="31">
                  <c:v>5.511410849043733</c:v>
                </c:pt>
                <c:pt idx="32">
                  <c:v>5.1290660753914965</c:v>
                </c:pt>
              </c:numCache>
            </c:numRef>
          </c:yVal>
          <c:smooth val="0"/>
        </c:ser>
        <c:ser>
          <c:idx val="1"/>
          <c:order val="1"/>
          <c:tx>
            <c:v>Balistica Interna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Database_Tabelle!$L$28:$V$28</c:f>
              <c:numCache>
                <c:ptCount val="11"/>
                <c:pt idx="0">
                  <c:v>0</c:v>
                </c:pt>
                <c:pt idx="1">
                  <c:v>0.0735</c:v>
                </c:pt>
                <c:pt idx="2">
                  <c:v>0.147</c:v>
                </c:pt>
                <c:pt idx="3">
                  <c:v>0.22049999999999997</c:v>
                </c:pt>
                <c:pt idx="4">
                  <c:v>0.294</c:v>
                </c:pt>
                <c:pt idx="5">
                  <c:v>0.3675</c:v>
                </c:pt>
                <c:pt idx="6">
                  <c:v>0.44099999999999995</c:v>
                </c:pt>
                <c:pt idx="7">
                  <c:v>0.5145</c:v>
                </c:pt>
                <c:pt idx="8">
                  <c:v>0.588</c:v>
                </c:pt>
                <c:pt idx="9">
                  <c:v>0.6614999999999999</c:v>
                </c:pt>
                <c:pt idx="10">
                  <c:v>0.735</c:v>
                </c:pt>
              </c:numCache>
            </c:numRef>
          </c:xVal>
          <c:yVal>
            <c:numRef>
              <c:f>Database_Tabelle!$L$27:$V$27</c:f>
              <c:numCache>
                <c:ptCount val="11"/>
                <c:pt idx="0">
                  <c:v>0</c:v>
                </c:pt>
                <c:pt idx="1">
                  <c:v>10.87311390185812</c:v>
                </c:pt>
                <c:pt idx="2">
                  <c:v>14.966780431517938</c:v>
                </c:pt>
                <c:pt idx="3">
                  <c:v>17.8140318762335</c:v>
                </c:pt>
                <c:pt idx="4">
                  <c:v>19.955707242023916</c:v>
                </c:pt>
                <c:pt idx="5">
                  <c:v>21.602686777597263</c:v>
                </c:pt>
                <c:pt idx="6">
                  <c:v>22.86213474573826</c:v>
                </c:pt>
                <c:pt idx="7">
                  <c:v>23.795664287708316</c:v>
                </c:pt>
                <c:pt idx="8">
                  <c:v>24.440650099660786</c:v>
                </c:pt>
                <c:pt idx="9">
                  <c:v>24.81959750548924</c:v>
                </c:pt>
                <c:pt idx="10">
                  <c:v>24.944634052529896</c:v>
                </c:pt>
              </c:numCache>
            </c:numRef>
          </c:yVal>
          <c:smooth val="0"/>
        </c:ser>
        <c:axId val="32964962"/>
        <c:axId val="28249203"/>
      </c:scatterChart>
      <c:valAx>
        <c:axId val="32964962"/>
        <c:scaling>
          <c:orientation val="minMax"/>
          <c:max val="4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Distanza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crossBetween val="midCat"/>
        <c:dispUnits/>
        <c:majorUnit val="0.25"/>
      </c:valAx>
      <c:valAx>
        <c:axId val="2824920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Velocità ( 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crossBetween val="midCat"/>
        <c:dispUnits/>
        <c:majorUnit val="5"/>
      </c:valAx>
      <c:spPr>
        <a:gradFill rotWithShape="1">
          <a:gsLst>
            <a:gs pos="0">
              <a:srgbClr val="FFFF99"/>
            </a:gs>
            <a:gs pos="100000">
              <a:srgbClr val="000080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232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Energia Cinetica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1"/>
          <c:w val="0.8905"/>
          <c:h val="0.80325"/>
        </c:manualLayout>
      </c:layout>
      <c:scatterChart>
        <c:scatterStyle val="lineMarker"/>
        <c:varyColors val="0"/>
        <c:ser>
          <c:idx val="0"/>
          <c:order val="0"/>
          <c:tx>
            <c:v>Modello previsionale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Database_Tabelle!$C$11:$AI$11</c:f>
              <c:numCache>
                <c:ptCount val="33"/>
                <c:pt idx="0">
                  <c:v>0</c:v>
                </c:pt>
                <c:pt idx="1">
                  <c:v>0.0735</c:v>
                </c:pt>
                <c:pt idx="2">
                  <c:v>0.147</c:v>
                </c:pt>
                <c:pt idx="3">
                  <c:v>0.22049999999999997</c:v>
                </c:pt>
                <c:pt idx="4">
                  <c:v>0.294</c:v>
                </c:pt>
                <c:pt idx="5">
                  <c:v>0.3675</c:v>
                </c:pt>
                <c:pt idx="6">
                  <c:v>0.44099999999999995</c:v>
                </c:pt>
                <c:pt idx="7">
                  <c:v>0.5145</c:v>
                </c:pt>
                <c:pt idx="8">
                  <c:v>0.588</c:v>
                </c:pt>
                <c:pt idx="9">
                  <c:v>0.6614999999999999</c:v>
                </c:pt>
                <c:pt idx="10">
                  <c:v>0.735</c:v>
                </c:pt>
                <c:pt idx="11">
                  <c:v>0.985</c:v>
                </c:pt>
                <c:pt idx="12">
                  <c:v>1.2349999999999999</c:v>
                </c:pt>
                <c:pt idx="13">
                  <c:v>1.4849999999999999</c:v>
                </c:pt>
                <c:pt idx="14">
                  <c:v>1.7349999999999999</c:v>
                </c:pt>
                <c:pt idx="15">
                  <c:v>1.9849999999999999</c:v>
                </c:pt>
                <c:pt idx="16">
                  <c:v>2.235</c:v>
                </c:pt>
                <c:pt idx="17">
                  <c:v>2.485</c:v>
                </c:pt>
                <c:pt idx="18">
                  <c:v>2.735</c:v>
                </c:pt>
                <c:pt idx="19">
                  <c:v>2.985</c:v>
                </c:pt>
                <c:pt idx="20">
                  <c:v>3.235</c:v>
                </c:pt>
                <c:pt idx="21">
                  <c:v>3.485</c:v>
                </c:pt>
                <c:pt idx="22">
                  <c:v>3.735</c:v>
                </c:pt>
                <c:pt idx="23">
                  <c:v>3.985</c:v>
                </c:pt>
                <c:pt idx="24">
                  <c:v>4.234999999999999</c:v>
                </c:pt>
                <c:pt idx="25">
                  <c:v>4.484999999999999</c:v>
                </c:pt>
                <c:pt idx="26">
                  <c:v>4.734999999999999</c:v>
                </c:pt>
                <c:pt idx="27">
                  <c:v>4.984999999999999</c:v>
                </c:pt>
                <c:pt idx="28">
                  <c:v>5.234999999999999</c:v>
                </c:pt>
                <c:pt idx="29">
                  <c:v>5.484999999999999</c:v>
                </c:pt>
                <c:pt idx="30">
                  <c:v>5.734999999999999</c:v>
                </c:pt>
                <c:pt idx="31">
                  <c:v>5.984999999999999</c:v>
                </c:pt>
                <c:pt idx="32">
                  <c:v>6.234999999999999</c:v>
                </c:pt>
              </c:numCache>
            </c:numRef>
          </c:xVal>
          <c:yVal>
            <c:numRef>
              <c:f>Database_Tabelle!$C$14:$AI$14</c:f>
              <c:numCache>
                <c:ptCount val="33"/>
                <c:pt idx="0">
                  <c:v>0</c:v>
                </c:pt>
                <c:pt idx="1">
                  <c:v>16.615291022708696</c:v>
                </c:pt>
                <c:pt idx="2">
                  <c:v>31.481604043027037</c:v>
                </c:pt>
                <c:pt idx="3">
                  <c:v>44.598939060954955</c:v>
                </c:pt>
                <c:pt idx="4">
                  <c:v>55.96729607649251</c:v>
                </c:pt>
                <c:pt idx="5">
                  <c:v>65.58667508963968</c:v>
                </c:pt>
                <c:pt idx="6">
                  <c:v>73.45707610039642</c:v>
                </c:pt>
                <c:pt idx="7">
                  <c:v>79.57849910876278</c:v>
                </c:pt>
                <c:pt idx="8">
                  <c:v>83.95094411473879</c:v>
                </c:pt>
                <c:pt idx="9">
                  <c:v>86.57441111832436</c:v>
                </c:pt>
                <c:pt idx="10">
                  <c:v>87.44890011951955</c:v>
                </c:pt>
                <c:pt idx="11">
                  <c:v>75.73652346424565</c:v>
                </c:pt>
                <c:pt idx="12">
                  <c:v>65.5928316835387</c:v>
                </c:pt>
                <c:pt idx="13">
                  <c:v>56.80772461514109</c:v>
                </c:pt>
                <c:pt idx="14">
                  <c:v>49.19924164151599</c:v>
                </c:pt>
                <c:pt idx="15">
                  <c:v>42.60979284945911</c:v>
                </c:pt>
                <c:pt idx="16">
                  <c:v>36.902894965392235</c:v>
                </c:pt>
                <c:pt idx="17">
                  <c:v>31.96034445973748</c:v>
                </c:pt>
                <c:pt idx="18">
                  <c:v>27.67976926859008</c:v>
                </c:pt>
                <c:pt idx="19">
                  <c:v>23.972508422979534</c:v>
                </c:pt>
                <c:pt idx="20">
                  <c:v>20.76177566776001</c:v>
                </c:pt>
                <c:pt idx="21">
                  <c:v>17.9810690342774</c:v>
                </c:pt>
                <c:pt idx="22">
                  <c:v>15.572793425251987</c:v>
                </c:pt>
                <c:pt idx="23">
                  <c:v>13.487067682309085</c:v>
                </c:pt>
                <c:pt idx="24">
                  <c:v>11.680691427668055</c:v>
                </c:pt>
                <c:pt idx="25">
                  <c:v>10.116250280805188</c:v>
                </c:pt>
                <c:pt idx="26">
                  <c:v>8.761340916983889</c:v>
                </c:pt>
                <c:pt idx="27">
                  <c:v>7.587899916757145</c:v>
                </c:pt>
                <c:pt idx="28">
                  <c:v>6.57162250530753</c:v>
                </c:pt>
                <c:pt idx="29">
                  <c:v>5.691459142323665</c:v>
                </c:pt>
                <c:pt idx="30">
                  <c:v>4.929179535583163</c:v>
                </c:pt>
                <c:pt idx="31">
                  <c:v>4.2689950479187875</c:v>
                </c:pt>
                <c:pt idx="32">
                  <c:v>3.6972316767112954</c:v>
                </c:pt>
              </c:numCache>
            </c:numRef>
          </c:yVal>
          <c:smooth val="0"/>
        </c:ser>
        <c:axId val="52916236"/>
        <c:axId val="6484077"/>
      </c:scatterChart>
      <c:valAx>
        <c:axId val="52916236"/>
        <c:scaling>
          <c:orientation val="minMax"/>
          <c:max val="4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Distanza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crossBetween val="midCat"/>
        <c:dispUnits/>
        <c:majorUnit val="0.5"/>
      </c:valAx>
      <c:valAx>
        <c:axId val="648407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Joule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crossBetween val="midCat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7"/>
          <c:y val="0.29575"/>
          <c:w val="0.3855"/>
          <c:h val="0.1032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2700000" scaled="1"/>
    </a:gradFill>
    <a:ln w="12700">
      <a:solidFill>
        <a:srgbClr val="800000"/>
      </a:solidFill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Distanza percorsa in funzione del tempo</a:t>
            </a:r>
          </a:p>
        </c:rich>
      </c:tx>
      <c:layout>
        <c:manualLayout>
          <c:xMode val="factor"/>
          <c:yMode val="factor"/>
          <c:x val="0.017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425"/>
          <c:w val="0.933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v>Modello previsonale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Database_Tabelle!$C$21:$AI$21</c:f>
              <c:numCache>
                <c:ptCount val="33"/>
                <c:pt idx="0">
                  <c:v>0</c:v>
                </c:pt>
                <c:pt idx="1">
                  <c:v>0.0067597930697147835</c:v>
                </c:pt>
                <c:pt idx="2">
                  <c:v>0.011670668881403671</c:v>
                </c:pt>
                <c:pt idx="3">
                  <c:v>0.015796629837949373</c:v>
                </c:pt>
                <c:pt idx="4">
                  <c:v>0.019479786696716038</c:v>
                </c:pt>
                <c:pt idx="5">
                  <c:v>0.023016978242919584</c:v>
                </c:pt>
                <c:pt idx="6">
                  <c:v>0.026322962501123634</c:v>
                </c:pt>
                <c:pt idx="7">
                  <c:v>0.0294735611801274</c:v>
                </c:pt>
                <c:pt idx="8">
                  <c:v>0.03252105769529425</c:v>
                </c:pt>
                <c:pt idx="9">
                  <c:v>0.03550520834711987</c:v>
                </c:pt>
                <c:pt idx="10">
                  <c:v>0.038459137211240196</c:v>
                </c:pt>
                <c:pt idx="11">
                  <c:v>0.04884146078374904</c:v>
                </c:pt>
                <c:pt idx="12">
                  <c:v>0.05999773171781769</c:v>
                </c:pt>
                <c:pt idx="13">
                  <c:v>0.07198564369966988</c:v>
                </c:pt>
                <c:pt idx="14">
                  <c:v>0.08486719117498066</c:v>
                </c:pt>
                <c:pt idx="15">
                  <c:v>0.09870898994776811</c:v>
                </c:pt>
                <c:pt idx="16">
                  <c:v>0.11358262167823827</c:v>
                </c:pt>
                <c:pt idx="17">
                  <c:v>0.1295650040611241</c:v>
                </c:pt>
                <c:pt idx="18">
                  <c:v>0.14673878859886352</c:v>
                </c:pt>
                <c:pt idx="19">
                  <c:v>0.16519278802666615</c:v>
                </c:pt>
                <c:pt idx="20">
                  <c:v>0.1850224355998601</c:v>
                </c:pt>
                <c:pt idx="21">
                  <c:v>0.20633027861868353</c:v>
                </c:pt>
                <c:pt idx="22">
                  <c:v>0.2292265087427418</c:v>
                </c:pt>
                <c:pt idx="23">
                  <c:v>0.2538295318376051</c:v>
                </c:pt>
                <c:pt idx="24">
                  <c:v>0.2802665803004586</c:v>
                </c:pt>
                <c:pt idx="25">
                  <c:v>0.30867437103139483</c:v>
                </c:pt>
                <c:pt idx="26">
                  <c:v>0.3391998124529884</c:v>
                </c:pt>
                <c:pt idx="27">
                  <c:v>0.3720007642344447</c:v>
                </c:pt>
                <c:pt idx="28">
                  <c:v>0.40724685364916924</c:v>
                </c:pt>
                <c:pt idx="29">
                  <c:v>0.44512035278747986</c:v>
                </c:pt>
                <c:pt idx="30">
                  <c:v>0.485817121160892</c:v>
                </c:pt>
                <c:pt idx="31">
                  <c:v>0.5295476185725719</c:v>
                </c:pt>
                <c:pt idx="32">
                  <c:v>0.576537993491931</c:v>
                </c:pt>
              </c:numCache>
            </c:numRef>
          </c:xVal>
          <c:yVal>
            <c:numRef>
              <c:f>Database_Tabelle!$C$11:$AI$11</c:f>
              <c:numCache>
                <c:ptCount val="33"/>
                <c:pt idx="0">
                  <c:v>0</c:v>
                </c:pt>
                <c:pt idx="1">
                  <c:v>0.0735</c:v>
                </c:pt>
                <c:pt idx="2">
                  <c:v>0.147</c:v>
                </c:pt>
                <c:pt idx="3">
                  <c:v>0.22049999999999997</c:v>
                </c:pt>
                <c:pt idx="4">
                  <c:v>0.294</c:v>
                </c:pt>
                <c:pt idx="5">
                  <c:v>0.3675</c:v>
                </c:pt>
                <c:pt idx="6">
                  <c:v>0.44099999999999995</c:v>
                </c:pt>
                <c:pt idx="7">
                  <c:v>0.5145</c:v>
                </c:pt>
                <c:pt idx="8">
                  <c:v>0.588</c:v>
                </c:pt>
                <c:pt idx="9">
                  <c:v>0.6614999999999999</c:v>
                </c:pt>
                <c:pt idx="10">
                  <c:v>0.735</c:v>
                </c:pt>
                <c:pt idx="11">
                  <c:v>0.985</c:v>
                </c:pt>
                <c:pt idx="12">
                  <c:v>1.2349999999999999</c:v>
                </c:pt>
                <c:pt idx="13">
                  <c:v>1.4849999999999999</c:v>
                </c:pt>
                <c:pt idx="14">
                  <c:v>1.7349999999999999</c:v>
                </c:pt>
                <c:pt idx="15">
                  <c:v>1.9849999999999999</c:v>
                </c:pt>
                <c:pt idx="16">
                  <c:v>2.235</c:v>
                </c:pt>
                <c:pt idx="17">
                  <c:v>2.485</c:v>
                </c:pt>
                <c:pt idx="18">
                  <c:v>2.735</c:v>
                </c:pt>
                <c:pt idx="19">
                  <c:v>2.985</c:v>
                </c:pt>
                <c:pt idx="20">
                  <c:v>3.235</c:v>
                </c:pt>
                <c:pt idx="21">
                  <c:v>3.485</c:v>
                </c:pt>
                <c:pt idx="22">
                  <c:v>3.735</c:v>
                </c:pt>
                <c:pt idx="23">
                  <c:v>3.985</c:v>
                </c:pt>
                <c:pt idx="24">
                  <c:v>4.234999999999999</c:v>
                </c:pt>
                <c:pt idx="25">
                  <c:v>4.484999999999999</c:v>
                </c:pt>
                <c:pt idx="26">
                  <c:v>4.734999999999999</c:v>
                </c:pt>
                <c:pt idx="27">
                  <c:v>4.984999999999999</c:v>
                </c:pt>
                <c:pt idx="28">
                  <c:v>5.234999999999999</c:v>
                </c:pt>
                <c:pt idx="29">
                  <c:v>5.484999999999999</c:v>
                </c:pt>
                <c:pt idx="30">
                  <c:v>5.734999999999999</c:v>
                </c:pt>
                <c:pt idx="31">
                  <c:v>5.984999999999999</c:v>
                </c:pt>
                <c:pt idx="32">
                  <c:v>6.234999999999999</c:v>
                </c:pt>
              </c:numCache>
            </c:numRef>
          </c:yVal>
          <c:smooth val="1"/>
        </c:ser>
        <c:ser>
          <c:idx val="2"/>
          <c:order val="1"/>
          <c:tx>
            <c:v>Dati sperimentali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Grafici!$N$16:$N$30</c:f>
              <c:numCache/>
            </c:numRef>
          </c:xVal>
          <c:yVal>
            <c:numRef>
              <c:f>Grafici!$O$16:$O$30</c:f>
              <c:numCache/>
            </c:numRef>
          </c:yVal>
          <c:smooth val="1"/>
        </c:ser>
        <c:axId val="58356694"/>
        <c:axId val="55448199"/>
      </c:scatterChart>
      <c:valAx>
        <c:axId val="58356694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crossBetween val="midCat"/>
        <c:dispUnits/>
        <c:majorUnit val="0.05"/>
      </c:valAx>
      <c:valAx>
        <c:axId val="55448199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istanza 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62475"/>
          <c:w val="0.38"/>
          <c:h val="0.174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2700000" scaled="1"/>
    </a:gradFill>
    <a:ln w="3175">
      <a:solidFill>
        <a:srgbClr val="8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"/>
          <c:w val="0.67225"/>
          <c:h val="0.9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Dati_veloc_contrazione_libera!$C$2:$C$5</c:f>
              <c:numCache/>
            </c:numRef>
          </c:xVal>
          <c:yVal>
            <c:numRef>
              <c:f>Dati_veloc_contrazione_libera!$D$2:$D$5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Dati_veloc_contrazione_libera!$C$2:$C$5</c:f>
              <c:numCache/>
            </c:numRef>
          </c:xVal>
          <c:yVal>
            <c:numRef>
              <c:f>Dati_veloc_contrazione_libera!$E$9:$E$12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Dati_veloc_contrazione_libera!$C$2:$C$5</c:f>
              <c:numCache/>
            </c:numRef>
          </c:xVal>
          <c:yVal>
            <c:numRef>
              <c:f>Dati_veloc_contrazione_libera!$F$9:$F$12</c:f>
              <c:numCache/>
            </c:numRef>
          </c:yVal>
          <c:smooth val="0"/>
        </c:ser>
        <c:axId val="29271744"/>
        <c:axId val="62119105"/>
      </c:scatterChart>
      <c:valAx>
        <c:axId val="29271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19105"/>
        <c:crosses val="autoZero"/>
        <c:crossBetween val="midCat"/>
        <c:dispUnits/>
        <c:majorUnit val="100"/>
      </c:valAx>
      <c:valAx>
        <c:axId val="62119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6</xdr:row>
      <xdr:rowOff>161925</xdr:rowOff>
    </xdr:from>
    <xdr:to>
      <xdr:col>23</xdr:col>
      <xdr:colOff>66675</xdr:colOff>
      <xdr:row>27</xdr:row>
      <xdr:rowOff>28575</xdr:rowOff>
    </xdr:to>
    <xdr:graphicFrame>
      <xdr:nvGraphicFramePr>
        <xdr:cNvPr id="1" name="Chart 5"/>
        <xdr:cNvGraphicFramePr/>
      </xdr:nvGraphicFramePr>
      <xdr:xfrm>
        <a:off x="8505825" y="1133475"/>
        <a:ext cx="60293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4</xdr:row>
      <xdr:rowOff>9525</xdr:rowOff>
    </xdr:from>
    <xdr:to>
      <xdr:col>13</xdr:col>
      <xdr:colOff>314325</xdr:colOff>
      <xdr:row>5</xdr:row>
      <xdr:rowOff>133350</xdr:rowOff>
    </xdr:to>
    <xdr:sp>
      <xdr:nvSpPr>
        <xdr:cNvPr id="2" name="Rectangle 52"/>
        <xdr:cNvSpPr>
          <a:spLocks/>
        </xdr:cNvSpPr>
      </xdr:nvSpPr>
      <xdr:spPr>
        <a:xfrm>
          <a:off x="685800" y="657225"/>
          <a:ext cx="7620000" cy="2857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361950</xdr:colOff>
      <xdr:row>9</xdr:row>
      <xdr:rowOff>152400</xdr:rowOff>
    </xdr:to>
    <xdr:sp>
      <xdr:nvSpPr>
        <xdr:cNvPr id="3" name="Rectangle 53"/>
        <xdr:cNvSpPr>
          <a:spLocks/>
        </xdr:cNvSpPr>
      </xdr:nvSpPr>
      <xdr:spPr>
        <a:xfrm rot="1453850">
          <a:off x="876300" y="819150"/>
          <a:ext cx="352425" cy="8001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</xdr:row>
      <xdr:rowOff>66675</xdr:rowOff>
    </xdr:from>
    <xdr:to>
      <xdr:col>14</xdr:col>
      <xdr:colOff>552450</xdr:colOff>
      <xdr:row>3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704975" y="552450"/>
          <a:ext cx="7448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95250</xdr:rowOff>
    </xdr:from>
    <xdr:to>
      <xdr:col>5</xdr:col>
      <xdr:colOff>95250</xdr:colOff>
      <xdr:row>3</xdr:row>
      <xdr:rowOff>19050</xdr:rowOff>
    </xdr:to>
    <xdr:sp>
      <xdr:nvSpPr>
        <xdr:cNvPr id="5" name="Line 55"/>
        <xdr:cNvSpPr>
          <a:spLocks/>
        </xdr:cNvSpPr>
      </xdr:nvSpPr>
      <xdr:spPr>
        <a:xfrm>
          <a:off x="2933700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28575</xdr:rowOff>
    </xdr:from>
    <xdr:to>
      <xdr:col>7</xdr:col>
      <xdr:colOff>76200</xdr:colOff>
      <xdr:row>8</xdr:row>
      <xdr:rowOff>66675</xdr:rowOff>
    </xdr:to>
    <xdr:sp>
      <xdr:nvSpPr>
        <xdr:cNvPr id="6" name="Line 56"/>
        <xdr:cNvSpPr>
          <a:spLocks/>
        </xdr:cNvSpPr>
      </xdr:nvSpPr>
      <xdr:spPr>
        <a:xfrm flipV="1">
          <a:off x="4429125" y="10001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219075" cy="266700"/>
    <xdr:sp>
      <xdr:nvSpPr>
        <xdr:cNvPr id="7" name="TextBox 57"/>
        <xdr:cNvSpPr txBox="1">
          <a:spLocks noChangeArrowheads="1"/>
        </xdr:cNvSpPr>
      </xdr:nvSpPr>
      <xdr:spPr>
        <a:xfrm>
          <a:off x="2838450" y="285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7</xdr:col>
      <xdr:colOff>0</xdr:colOff>
      <xdr:row>8</xdr:row>
      <xdr:rowOff>104775</xdr:rowOff>
    </xdr:from>
    <xdr:ext cx="228600" cy="266700"/>
    <xdr:sp>
      <xdr:nvSpPr>
        <xdr:cNvPr id="8" name="TextBox 58"/>
        <xdr:cNvSpPr txBox="1">
          <a:spLocks noChangeArrowheads="1"/>
        </xdr:cNvSpPr>
      </xdr:nvSpPr>
      <xdr:spPr>
        <a:xfrm>
          <a:off x="4362450" y="14097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13</xdr:col>
      <xdr:colOff>0</xdr:colOff>
      <xdr:row>4</xdr:row>
      <xdr:rowOff>19050</xdr:rowOff>
    </xdr:from>
    <xdr:to>
      <xdr:col>13</xdr:col>
      <xdr:colOff>304800</xdr:colOff>
      <xdr:row>5</xdr:row>
      <xdr:rowOff>133350</xdr:rowOff>
    </xdr:to>
    <xdr:sp>
      <xdr:nvSpPr>
        <xdr:cNvPr id="9" name="Oval 59"/>
        <xdr:cNvSpPr>
          <a:spLocks/>
        </xdr:cNvSpPr>
      </xdr:nvSpPr>
      <xdr:spPr>
        <a:xfrm>
          <a:off x="7991475" y="666750"/>
          <a:ext cx="304800" cy="2762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28575</xdr:rowOff>
    </xdr:from>
    <xdr:to>
      <xdr:col>13</xdr:col>
      <xdr:colOff>142875</xdr:colOff>
      <xdr:row>8</xdr:row>
      <xdr:rowOff>57150</xdr:rowOff>
    </xdr:to>
    <xdr:sp>
      <xdr:nvSpPr>
        <xdr:cNvPr id="10" name="Line 60"/>
        <xdr:cNvSpPr>
          <a:spLocks/>
        </xdr:cNvSpPr>
      </xdr:nvSpPr>
      <xdr:spPr>
        <a:xfrm flipV="1">
          <a:off x="8134350" y="1000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47625</xdr:colOff>
      <xdr:row>8</xdr:row>
      <xdr:rowOff>38100</xdr:rowOff>
    </xdr:from>
    <xdr:ext cx="228600" cy="266700"/>
    <xdr:sp>
      <xdr:nvSpPr>
        <xdr:cNvPr id="11" name="TextBox 61"/>
        <xdr:cNvSpPr txBox="1">
          <a:spLocks noChangeArrowheads="1"/>
        </xdr:cNvSpPr>
      </xdr:nvSpPr>
      <xdr:spPr>
        <a:xfrm>
          <a:off x="8039100" y="13430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13</xdr:col>
      <xdr:colOff>457200</xdr:colOff>
      <xdr:row>3</xdr:row>
      <xdr:rowOff>114300</xdr:rowOff>
    </xdr:from>
    <xdr:to>
      <xdr:col>15</xdr:col>
      <xdr:colOff>180975</xdr:colOff>
      <xdr:row>3</xdr:row>
      <xdr:rowOff>114300</xdr:rowOff>
    </xdr:to>
    <xdr:sp>
      <xdr:nvSpPr>
        <xdr:cNvPr id="12" name="Line 63"/>
        <xdr:cNvSpPr>
          <a:spLocks/>
        </xdr:cNvSpPr>
      </xdr:nvSpPr>
      <xdr:spPr>
        <a:xfrm>
          <a:off x="8448675" y="600075"/>
          <a:ext cx="9429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19050</xdr:rowOff>
    </xdr:from>
    <xdr:to>
      <xdr:col>11</xdr:col>
      <xdr:colOff>514350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171450" y="4572000"/>
        <a:ext cx="6610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11</xdr:col>
      <xdr:colOff>514350</xdr:colOff>
      <xdr:row>79</xdr:row>
      <xdr:rowOff>66675</xdr:rowOff>
    </xdr:to>
    <xdr:graphicFrame>
      <xdr:nvGraphicFramePr>
        <xdr:cNvPr id="2" name="Chart 3"/>
        <xdr:cNvGraphicFramePr/>
      </xdr:nvGraphicFramePr>
      <xdr:xfrm>
        <a:off x="171450" y="8829675"/>
        <a:ext cx="66103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0</xdr:row>
      <xdr:rowOff>114300</xdr:rowOff>
    </xdr:from>
    <xdr:to>
      <xdr:col>11</xdr:col>
      <xdr:colOff>428625</xdr:colOff>
      <xdr:row>26</xdr:row>
      <xdr:rowOff>133350</xdr:rowOff>
    </xdr:to>
    <xdr:graphicFrame>
      <xdr:nvGraphicFramePr>
        <xdr:cNvPr id="3" name="Chart 4"/>
        <xdr:cNvGraphicFramePr/>
      </xdr:nvGraphicFramePr>
      <xdr:xfrm>
        <a:off x="219075" y="114300"/>
        <a:ext cx="64770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142875</xdr:rowOff>
    </xdr:from>
    <xdr:to>
      <xdr:col>20</xdr:col>
      <xdr:colOff>28575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867275" y="142875"/>
        <a:ext cx="73533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22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2.57421875" style="124" customWidth="1"/>
    <col min="2" max="2" width="1.28515625" style="124" customWidth="1"/>
    <col min="3" max="3" width="9.140625" style="124" customWidth="1"/>
    <col min="4" max="4" width="11.140625" style="124" customWidth="1"/>
    <col min="5" max="5" width="18.421875" style="124" customWidth="1"/>
    <col min="6" max="6" width="10.421875" style="124" customWidth="1"/>
    <col min="7" max="7" width="12.421875" style="124" customWidth="1"/>
    <col min="8" max="10" width="9.140625" style="124" customWidth="1"/>
    <col min="11" max="11" width="11.421875" style="124" customWidth="1"/>
    <col min="12" max="12" width="6.421875" style="124" customWidth="1"/>
    <col min="13" max="17" width="9.140625" style="124" customWidth="1"/>
    <col min="18" max="18" width="14.8515625" style="124" customWidth="1"/>
    <col min="19" max="16384" width="9.140625" style="124" customWidth="1"/>
  </cols>
  <sheetData>
    <row r="1" ht="12.75"/>
    <row r="2" ht="12.75"/>
    <row r="7" ht="13.5" thickBot="1"/>
    <row r="8" spans="9:11" ht="12.75">
      <c r="I8" s="125" t="s">
        <v>13</v>
      </c>
      <c r="J8" s="126"/>
      <c r="K8" s="127"/>
    </row>
    <row r="9" spans="9:11" ht="12.75">
      <c r="I9" s="128" t="s">
        <v>14</v>
      </c>
      <c r="J9" s="129"/>
      <c r="K9" s="130"/>
    </row>
    <row r="10" spans="9:11" ht="13.5" thickBot="1">
      <c r="I10" s="131" t="s">
        <v>15</v>
      </c>
      <c r="J10" s="132"/>
      <c r="K10" s="133"/>
    </row>
    <row r="11" ht="13.5" thickBot="1"/>
    <row r="12" spans="2:13" ht="13.5" thickBot="1">
      <c r="B12" s="254" t="s">
        <v>48</v>
      </c>
      <c r="C12" s="255"/>
      <c r="D12" s="255"/>
      <c r="E12" s="255"/>
      <c r="F12" s="255"/>
      <c r="G12" s="256"/>
      <c r="I12" s="254" t="s">
        <v>49</v>
      </c>
      <c r="J12" s="255"/>
      <c r="K12" s="255"/>
      <c r="L12" s="255"/>
      <c r="M12" s="256"/>
    </row>
    <row r="13" spans="2:13" ht="13.5" thickBot="1">
      <c r="B13" s="134" t="s">
        <v>16</v>
      </c>
      <c r="C13" s="135"/>
      <c r="D13" s="135"/>
      <c r="E13" s="135"/>
      <c r="F13" s="135"/>
      <c r="G13" s="136"/>
      <c r="H13" s="137"/>
      <c r="I13" s="138" t="s">
        <v>16</v>
      </c>
      <c r="J13" s="139"/>
      <c r="K13" s="139"/>
      <c r="L13" s="139"/>
      <c r="M13" s="140"/>
    </row>
    <row r="14" spans="2:13" ht="15.75">
      <c r="B14" s="138" t="s">
        <v>17</v>
      </c>
      <c r="C14" s="139"/>
      <c r="D14" s="139"/>
      <c r="E14" s="139"/>
      <c r="F14" s="139" t="s">
        <v>18</v>
      </c>
      <c r="G14" s="121">
        <v>73.5</v>
      </c>
      <c r="I14" s="138" t="s">
        <v>20</v>
      </c>
      <c r="J14" s="139"/>
      <c r="K14" s="139" t="s">
        <v>18</v>
      </c>
      <c r="L14" s="205">
        <v>111</v>
      </c>
      <c r="M14" s="140"/>
    </row>
    <row r="15" spans="2:13" ht="16.5" thickBot="1">
      <c r="B15" s="141" t="s">
        <v>19</v>
      </c>
      <c r="C15" s="142"/>
      <c r="D15" s="142"/>
      <c r="E15" s="142"/>
      <c r="F15" s="142" t="s">
        <v>18</v>
      </c>
      <c r="G15" s="122">
        <v>34</v>
      </c>
      <c r="I15" s="143" t="s">
        <v>23</v>
      </c>
      <c r="J15" s="144"/>
      <c r="K15" s="144" t="s">
        <v>22</v>
      </c>
      <c r="L15" s="206">
        <v>6.35</v>
      </c>
      <c r="M15" s="145"/>
    </row>
    <row r="16" spans="2:13" ht="15.75">
      <c r="B16" s="141" t="s">
        <v>21</v>
      </c>
      <c r="C16" s="142"/>
      <c r="D16" s="142"/>
      <c r="E16" s="142"/>
      <c r="F16" s="142" t="s">
        <v>22</v>
      </c>
      <c r="G16" s="122">
        <v>20</v>
      </c>
      <c r="I16" s="265">
        <f>IF(L25&lt;270,"Il peso dell'asta deve essere tra 270 gr e 600 gr","")</f>
      </c>
      <c r="J16" s="265"/>
      <c r="K16" s="265"/>
      <c r="L16" s="265"/>
      <c r="M16" s="265"/>
    </row>
    <row r="17" spans="2:7" ht="15.75">
      <c r="B17" s="141" t="s">
        <v>24</v>
      </c>
      <c r="C17" s="142"/>
      <c r="D17" s="142"/>
      <c r="E17" s="142"/>
      <c r="F17" s="142" t="s">
        <v>18</v>
      </c>
      <c r="G17" s="122">
        <v>5.5</v>
      </c>
    </row>
    <row r="18" spans="2:7" ht="15.75">
      <c r="B18" s="141" t="s">
        <v>27</v>
      </c>
      <c r="C18" s="142"/>
      <c r="D18" s="142"/>
      <c r="E18" s="142"/>
      <c r="F18" s="142" t="s">
        <v>28</v>
      </c>
      <c r="G18" s="122">
        <v>1.5</v>
      </c>
    </row>
    <row r="19" spans="2:8" ht="15.75">
      <c r="B19" s="141" t="s">
        <v>32</v>
      </c>
      <c r="C19" s="142"/>
      <c r="D19" s="142"/>
      <c r="E19" s="142"/>
      <c r="F19" s="146" t="s">
        <v>57</v>
      </c>
      <c r="G19" s="122">
        <v>420</v>
      </c>
      <c r="H19" s="217">
        <f>IF(OR(G19&lt;110,G19&gt;420),"INSERISCI UN VALORE TRA 110% e 420% !!!","")</f>
      </c>
    </row>
    <row r="20" spans="2:7" ht="16.5" thickBot="1">
      <c r="B20" s="143"/>
      <c r="C20" s="147">
        <f>G19/100</f>
        <v>4.2</v>
      </c>
      <c r="D20" s="144"/>
      <c r="E20" s="144"/>
      <c r="F20" s="144"/>
      <c r="G20" s="148"/>
    </row>
    <row r="21" spans="9:13" ht="13.5" thickBot="1">
      <c r="I21" s="150"/>
      <c r="J21" s="150"/>
      <c r="K21" s="150"/>
      <c r="L21" s="150"/>
      <c r="M21" s="150"/>
    </row>
    <row r="22" spans="2:13" ht="13.5" thickBot="1">
      <c r="B22" s="151" t="s">
        <v>55</v>
      </c>
      <c r="C22" s="152"/>
      <c r="D22" s="152"/>
      <c r="E22" s="152"/>
      <c r="F22" s="152"/>
      <c r="G22" s="153"/>
      <c r="H22" s="149"/>
      <c r="I22" s="154" t="s">
        <v>54</v>
      </c>
      <c r="J22" s="155"/>
      <c r="K22" s="155"/>
      <c r="L22" s="155"/>
      <c r="M22" s="156"/>
    </row>
    <row r="23" spans="2:13" ht="12.75">
      <c r="B23" s="157" t="s">
        <v>63</v>
      </c>
      <c r="C23" s="158"/>
      <c r="D23" s="158"/>
      <c r="E23" s="158"/>
      <c r="F23" s="159">
        <f>G14+G15+((G16*3.14)/2)/10</f>
        <v>110.64</v>
      </c>
      <c r="G23" s="160"/>
      <c r="H23" s="137"/>
      <c r="I23" s="161" t="s">
        <v>25</v>
      </c>
      <c r="J23" s="162"/>
      <c r="K23" s="162" t="s">
        <v>26</v>
      </c>
      <c r="L23" s="163">
        <f>(((L15/20)^2)*3.14)*L14</f>
        <v>35.13501037500001</v>
      </c>
      <c r="M23" s="164"/>
    </row>
    <row r="24" spans="2:13" ht="12.75">
      <c r="B24" s="161" t="s">
        <v>64</v>
      </c>
      <c r="C24" s="165"/>
      <c r="D24" s="165"/>
      <c r="E24" s="165"/>
      <c r="F24" s="166">
        <f>F23-G17-2*G18-F25</f>
        <v>77.2852380952381</v>
      </c>
      <c r="G24" s="167"/>
      <c r="I24" s="161" t="s">
        <v>29</v>
      </c>
      <c r="J24" s="162"/>
      <c r="K24" s="162" t="s">
        <v>30</v>
      </c>
      <c r="L24" s="168">
        <f>7.48*L23</f>
        <v>262.80987760500005</v>
      </c>
      <c r="M24" s="169">
        <f>L23*8</f>
        <v>281.08008300000006</v>
      </c>
    </row>
    <row r="25" spans="2:13" ht="13.5" thickBot="1">
      <c r="B25" s="161" t="s">
        <v>65</v>
      </c>
      <c r="C25" s="165"/>
      <c r="D25" s="165"/>
      <c r="E25" s="165"/>
      <c r="F25" s="166">
        <f>(F23-G18/2-G17)/C20</f>
        <v>24.854761904761904</v>
      </c>
      <c r="G25" s="167"/>
      <c r="I25" s="170" t="s">
        <v>31</v>
      </c>
      <c r="J25" s="171"/>
      <c r="K25" s="171" t="s">
        <v>30</v>
      </c>
      <c r="L25" s="172">
        <f>(L24+M24)/2</f>
        <v>271.9449803025001</v>
      </c>
      <c r="M25" s="173"/>
    </row>
    <row r="26" spans="2:7" ht="12.75">
      <c r="B26" s="161" t="s">
        <v>66</v>
      </c>
      <c r="C26" s="165"/>
      <c r="D26" s="165"/>
      <c r="E26" s="165"/>
      <c r="F26" s="166">
        <f>F25+G18</f>
        <v>26.354761904761904</v>
      </c>
      <c r="G26" s="167"/>
    </row>
    <row r="27" spans="2:7" ht="13.5" thickBot="1">
      <c r="B27" s="170" t="s">
        <v>67</v>
      </c>
      <c r="C27" s="174"/>
      <c r="D27" s="174"/>
      <c r="E27" s="174"/>
      <c r="F27" s="175">
        <f>(G15+((3.14*G16)/20))-(F25+G18/2+G17)</f>
        <v>6.035238095238096</v>
      </c>
      <c r="G27" s="176"/>
    </row>
    <row r="28" spans="9:13" ht="12.75">
      <c r="I28" s="151" t="s">
        <v>56</v>
      </c>
      <c r="J28" s="152"/>
      <c r="K28" s="152"/>
      <c r="L28" s="152"/>
      <c r="M28" s="153">
        <f>(((M29*2)/(M24/1000))^0.5)</f>
        <v>24.944634052529896</v>
      </c>
    </row>
    <row r="29" spans="9:13" ht="13.5" thickBot="1">
      <c r="I29" s="177" t="s">
        <v>33</v>
      </c>
      <c r="J29" s="178"/>
      <c r="K29" s="178"/>
      <c r="L29" s="178"/>
      <c r="M29" s="179">
        <f>L37*0.47</f>
        <v>87.44890011951955</v>
      </c>
    </row>
    <row r="30" ht="13.5" thickBot="1"/>
    <row r="31" spans="4:11" ht="12.75">
      <c r="D31" s="257" t="s">
        <v>62</v>
      </c>
      <c r="E31" s="258"/>
      <c r="F31" s="258"/>
      <c r="G31" s="258"/>
      <c r="H31" s="258"/>
      <c r="I31" s="258"/>
      <c r="J31" s="258"/>
      <c r="K31" s="259"/>
    </row>
    <row r="32" spans="4:11" ht="13.5" thickBot="1">
      <c r="D32" s="260"/>
      <c r="E32" s="261"/>
      <c r="F32" s="261"/>
      <c r="G32" s="261"/>
      <c r="H32" s="261"/>
      <c r="I32" s="261"/>
      <c r="J32" s="261"/>
      <c r="K32" s="262"/>
    </row>
    <row r="33" ht="13.5" thickBot="1"/>
    <row r="34" spans="3:13" ht="23.25">
      <c r="C34" s="219" t="s">
        <v>59</v>
      </c>
      <c r="D34" s="220"/>
      <c r="E34" s="220"/>
      <c r="F34" s="180">
        <f>F25</f>
        <v>24.854761904761904</v>
      </c>
      <c r="G34" s="181"/>
      <c r="H34" s="252" t="s">
        <v>5</v>
      </c>
      <c r="I34" s="253"/>
      <c r="J34" s="253"/>
      <c r="K34" s="253"/>
      <c r="L34" s="263">
        <f>(F34*F36/100)-F34</f>
        <v>79.5352380952381</v>
      </c>
      <c r="M34" s="264"/>
    </row>
    <row r="35" spans="3:13" ht="23.25">
      <c r="C35" s="182" t="s">
        <v>60</v>
      </c>
      <c r="D35" s="183"/>
      <c r="E35" s="183"/>
      <c r="F35" s="184">
        <f>F27</f>
        <v>6.035238095238096</v>
      </c>
      <c r="G35" s="185"/>
      <c r="H35" s="234" t="s">
        <v>7</v>
      </c>
      <c r="I35" s="235"/>
      <c r="J35" s="235"/>
      <c r="K35" s="235"/>
      <c r="L35" s="236">
        <f>('Database 14'!Z203)/100*9.81*2</f>
        <v>187.867044195925</v>
      </c>
      <c r="M35" s="218"/>
    </row>
    <row r="36" spans="3:13" ht="23.25">
      <c r="C36" s="247" t="s">
        <v>61</v>
      </c>
      <c r="D36" s="248"/>
      <c r="E36" s="248"/>
      <c r="F36" s="188">
        <f>C20*100</f>
        <v>420</v>
      </c>
      <c r="G36" s="185"/>
      <c r="H36" s="234" t="s">
        <v>11</v>
      </c>
      <c r="I36" s="235"/>
      <c r="J36" s="235"/>
      <c r="K36" s="235"/>
      <c r="L36" s="236">
        <f>'Database 14'!AA203/100*9.81*2</f>
        <v>1.8055545799259276</v>
      </c>
      <c r="M36" s="218"/>
    </row>
    <row r="37" spans="3:13" ht="24" thickBot="1">
      <c r="C37" s="189"/>
      <c r="D37" s="190"/>
      <c r="E37" s="190"/>
      <c r="F37" s="191"/>
      <c r="G37" s="185"/>
      <c r="H37" s="186" t="s">
        <v>12</v>
      </c>
      <c r="I37" s="187"/>
      <c r="J37" s="187"/>
      <c r="K37" s="187"/>
      <c r="L37" s="236">
        <f>L35-L36</f>
        <v>186.06148961599905</v>
      </c>
      <c r="M37" s="218"/>
    </row>
    <row r="38" spans="3:13" ht="23.25" customHeight="1">
      <c r="C38" s="249" t="s">
        <v>10</v>
      </c>
      <c r="D38" s="250"/>
      <c r="E38" s="250"/>
      <c r="F38" s="250"/>
      <c r="G38" s="185"/>
      <c r="H38" s="234" t="s">
        <v>58</v>
      </c>
      <c r="I38" s="235"/>
      <c r="J38" s="235"/>
      <c r="K38" s="235"/>
      <c r="L38" s="236">
        <f>_XLL.SPLINE(Database_Tabelle!G71:G79,Database_Tabelle!B59:B67,Database_Tabelle!G84)*2</f>
        <v>45.913623059551824</v>
      </c>
      <c r="M38" s="218"/>
    </row>
    <row r="39" spans="3:13" ht="24" customHeight="1" thickBot="1">
      <c r="C39" s="251"/>
      <c r="D39" s="233"/>
      <c r="E39" s="233"/>
      <c r="F39" s="233"/>
      <c r="G39" s="193"/>
      <c r="H39" s="239" t="s">
        <v>9</v>
      </c>
      <c r="I39" s="240"/>
      <c r="J39" s="240"/>
      <c r="K39" s="240"/>
      <c r="L39" s="241">
        <f>_XLL.SPLINE(Dati_veloc_contrazione_libera!C2:C5,Dati_veloc_contrazione_libera!D2:D5,F36)</f>
        <v>42.5</v>
      </c>
      <c r="M39" s="242"/>
    </row>
    <row r="40" spans="8:13" ht="15">
      <c r="H40" s="194"/>
      <c r="I40" s="194"/>
      <c r="J40" s="194"/>
      <c r="K40" s="194"/>
      <c r="L40" s="195"/>
      <c r="M40" s="195"/>
    </row>
    <row r="41" spans="3:13" ht="15">
      <c r="C41" s="185"/>
      <c r="D41" s="185"/>
      <c r="E41" s="185"/>
      <c r="F41" s="185"/>
      <c r="G41" s="185"/>
      <c r="H41" s="196"/>
      <c r="I41" s="196"/>
      <c r="J41" s="196"/>
      <c r="K41" s="196"/>
      <c r="L41" s="197"/>
      <c r="M41" s="197"/>
    </row>
    <row r="42" spans="3:13" ht="23.25">
      <c r="C42" s="243"/>
      <c r="D42" s="243"/>
      <c r="E42" s="243"/>
      <c r="F42" s="199"/>
      <c r="G42" s="185"/>
      <c r="H42" s="245"/>
      <c r="I42" s="245"/>
      <c r="J42" s="245"/>
      <c r="K42" s="245"/>
      <c r="L42" s="244"/>
      <c r="M42" s="244"/>
    </row>
    <row r="43" spans="3:13" ht="23.25">
      <c r="C43" s="243"/>
      <c r="D43" s="243"/>
      <c r="E43" s="243"/>
      <c r="F43" s="199"/>
      <c r="G43" s="185"/>
      <c r="H43" s="245"/>
      <c r="I43" s="245"/>
      <c r="J43" s="245"/>
      <c r="K43" s="245"/>
      <c r="L43" s="244"/>
      <c r="M43" s="244"/>
    </row>
    <row r="44" spans="3:13" ht="23.25" customHeight="1">
      <c r="C44" s="250"/>
      <c r="D44" s="250"/>
      <c r="E44" s="250"/>
      <c r="F44" s="250"/>
      <c r="G44" s="185"/>
      <c r="H44" s="245"/>
      <c r="I44" s="245"/>
      <c r="J44" s="245"/>
      <c r="K44" s="245"/>
      <c r="L44" s="244"/>
      <c r="M44" s="244"/>
    </row>
    <row r="45" spans="3:13" ht="24" customHeight="1">
      <c r="C45" s="250"/>
      <c r="D45" s="250"/>
      <c r="E45" s="250"/>
      <c r="F45" s="250"/>
      <c r="G45" s="185"/>
      <c r="H45" s="243"/>
      <c r="I45" s="243"/>
      <c r="J45" s="243"/>
      <c r="K45" s="243"/>
      <c r="L45" s="244"/>
      <c r="M45" s="244"/>
    </row>
    <row r="46" spans="3:13" ht="15">
      <c r="C46" s="185"/>
      <c r="D46" s="185"/>
      <c r="E46" s="185"/>
      <c r="F46" s="185"/>
      <c r="G46" s="185"/>
      <c r="H46" s="196"/>
      <c r="I46" s="196"/>
      <c r="J46" s="196"/>
      <c r="K46" s="196"/>
      <c r="L46" s="197"/>
      <c r="M46" s="197"/>
    </row>
    <row r="47" spans="3:13" ht="23.25">
      <c r="C47" s="243"/>
      <c r="D47" s="243"/>
      <c r="E47" s="243"/>
      <c r="F47" s="199"/>
      <c r="G47" s="185"/>
      <c r="H47" s="245"/>
      <c r="I47" s="245"/>
      <c r="J47" s="245"/>
      <c r="K47" s="245"/>
      <c r="L47" s="244"/>
      <c r="M47" s="244"/>
    </row>
    <row r="48" spans="3:13" ht="23.25">
      <c r="C48" s="243"/>
      <c r="D48" s="243"/>
      <c r="E48" s="243"/>
      <c r="F48" s="199"/>
      <c r="G48" s="185"/>
      <c r="H48" s="245"/>
      <c r="I48" s="245"/>
      <c r="J48" s="245"/>
      <c r="K48" s="245"/>
      <c r="L48" s="244"/>
      <c r="M48" s="244"/>
    </row>
    <row r="49" spans="3:13" ht="23.25" customHeight="1">
      <c r="C49" s="250"/>
      <c r="D49" s="250"/>
      <c r="E49" s="250"/>
      <c r="F49" s="250"/>
      <c r="G49" s="185"/>
      <c r="H49" s="245"/>
      <c r="I49" s="245"/>
      <c r="J49" s="245"/>
      <c r="K49" s="245"/>
      <c r="L49" s="244"/>
      <c r="M49" s="244"/>
    </row>
    <row r="50" spans="3:13" ht="24" customHeight="1">
      <c r="C50" s="250"/>
      <c r="D50" s="250"/>
      <c r="E50" s="250"/>
      <c r="F50" s="250"/>
      <c r="G50" s="185"/>
      <c r="H50" s="243"/>
      <c r="I50" s="243"/>
      <c r="J50" s="243"/>
      <c r="K50" s="243"/>
      <c r="L50" s="244"/>
      <c r="M50" s="244"/>
    </row>
    <row r="51" spans="3:13" ht="25.5">
      <c r="C51" s="192"/>
      <c r="D51" s="192"/>
      <c r="E51" s="192"/>
      <c r="F51" s="192"/>
      <c r="G51" s="185"/>
      <c r="H51" s="198"/>
      <c r="I51" s="198"/>
      <c r="J51" s="198"/>
      <c r="K51" s="198"/>
      <c r="L51" s="200"/>
      <c r="M51" s="200"/>
    </row>
    <row r="52" spans="3:13" ht="276.75" customHeight="1">
      <c r="C52" s="192"/>
      <c r="D52" s="192"/>
      <c r="E52" s="192"/>
      <c r="F52" s="192"/>
      <c r="G52" s="185"/>
      <c r="H52" s="198"/>
      <c r="I52" s="198"/>
      <c r="J52" s="198"/>
      <c r="K52" s="198"/>
      <c r="L52" s="200"/>
      <c r="M52" s="200"/>
    </row>
    <row r="90" spans="4:7" ht="12.75">
      <c r="D90" s="201"/>
      <c r="E90" s="199"/>
      <c r="F90" s="199"/>
      <c r="G90" s="201"/>
    </row>
    <row r="91" spans="4:7" ht="12.75">
      <c r="D91" s="201"/>
      <c r="E91" s="199"/>
      <c r="F91" s="199"/>
      <c r="G91" s="201"/>
    </row>
    <row r="92" spans="4:7" ht="12.75">
      <c r="D92" s="201"/>
      <c r="E92" s="199"/>
      <c r="F92" s="199"/>
      <c r="G92" s="201"/>
    </row>
    <row r="93" spans="4:7" ht="12.75">
      <c r="D93" s="201"/>
      <c r="E93" s="199"/>
      <c r="F93" s="199"/>
      <c r="G93" s="201"/>
    </row>
    <row r="94" spans="4:7" ht="12.75">
      <c r="D94" s="201"/>
      <c r="E94" s="199"/>
      <c r="F94" s="199"/>
      <c r="G94" s="201"/>
    </row>
    <row r="95" spans="4:7" ht="12.75">
      <c r="D95" s="201"/>
      <c r="E95" s="199"/>
      <c r="F95" s="199"/>
      <c r="G95" s="201"/>
    </row>
    <row r="96" spans="2:18" ht="12.75">
      <c r="B96" s="199"/>
      <c r="C96" s="199"/>
      <c r="D96" s="201"/>
      <c r="E96" s="199"/>
      <c r="F96" s="199"/>
      <c r="G96" s="201"/>
      <c r="K96" s="185"/>
      <c r="L96" s="185"/>
      <c r="M96" s="185"/>
      <c r="N96" s="185"/>
      <c r="O96" s="185"/>
      <c r="P96" s="185"/>
      <c r="Q96" s="185"/>
      <c r="R96" s="185"/>
    </row>
    <row r="97" spans="2:18" ht="12.75">
      <c r="B97" s="199"/>
      <c r="C97" s="199"/>
      <c r="D97" s="201"/>
      <c r="E97" s="199"/>
      <c r="F97" s="199"/>
      <c r="G97" s="201"/>
      <c r="K97" s="185"/>
      <c r="L97" s="185"/>
      <c r="M97" s="185"/>
      <c r="N97" s="185"/>
      <c r="O97" s="185"/>
      <c r="P97" s="185"/>
      <c r="Q97" s="185"/>
      <c r="R97" s="185"/>
    </row>
    <row r="98" spans="2:18" ht="12.75">
      <c r="B98" s="199"/>
      <c r="C98" s="199"/>
      <c r="D98" s="201"/>
      <c r="E98" s="199"/>
      <c r="F98" s="199"/>
      <c r="G98" s="201"/>
      <c r="H98" s="185"/>
      <c r="J98" s="185"/>
      <c r="K98" s="202"/>
      <c r="L98" s="202"/>
      <c r="M98" s="202"/>
      <c r="N98" s="202"/>
      <c r="O98" s="185"/>
      <c r="P98" s="185"/>
      <c r="Q98" s="185"/>
      <c r="R98" s="185"/>
    </row>
    <row r="99" spans="2:18" ht="12.75">
      <c r="B99" s="199"/>
      <c r="C99" s="199"/>
      <c r="D99" s="201"/>
      <c r="E99" s="199"/>
      <c r="F99" s="199"/>
      <c r="G99" s="201"/>
      <c r="H99" s="185"/>
      <c r="J99" s="185"/>
      <c r="K99" s="199"/>
      <c r="L99" s="199"/>
      <c r="M99" s="199"/>
      <c r="N99" s="199"/>
      <c r="O99" s="185"/>
      <c r="P99" s="203"/>
      <c r="Q99" s="185"/>
      <c r="R99" s="185"/>
    </row>
    <row r="100" spans="2:18" ht="12.75">
      <c r="B100" s="199"/>
      <c r="C100" s="199"/>
      <c r="D100" s="201"/>
      <c r="E100" s="199"/>
      <c r="F100" s="199"/>
      <c r="G100" s="201"/>
      <c r="H100" s="185"/>
      <c r="J100" s="185"/>
      <c r="K100" s="199"/>
      <c r="L100" s="199"/>
      <c r="M100" s="199"/>
      <c r="N100" s="199"/>
      <c r="O100" s="185"/>
      <c r="P100" s="185"/>
      <c r="Q100" s="185"/>
      <c r="R100" s="185"/>
    </row>
    <row r="101" spans="2:18" ht="12.75">
      <c r="B101" s="199"/>
      <c r="C101" s="199"/>
      <c r="D101" s="201"/>
      <c r="E101" s="199"/>
      <c r="F101" s="199"/>
      <c r="G101" s="201"/>
      <c r="H101" s="185"/>
      <c r="J101" s="185"/>
      <c r="K101" s="199"/>
      <c r="L101" s="199"/>
      <c r="M101" s="199"/>
      <c r="N101" s="199"/>
      <c r="O101" s="185"/>
      <c r="P101" s="185"/>
      <c r="Q101" s="185"/>
      <c r="R101" s="185"/>
    </row>
    <row r="102" spans="2:18" ht="12.75">
      <c r="B102" s="199"/>
      <c r="C102" s="199"/>
      <c r="D102" s="201"/>
      <c r="E102" s="199"/>
      <c r="F102" s="199"/>
      <c r="G102" s="185"/>
      <c r="H102" s="185"/>
      <c r="J102" s="185"/>
      <c r="K102" s="199"/>
      <c r="L102" s="199"/>
      <c r="M102" s="199"/>
      <c r="N102" s="199"/>
      <c r="O102" s="185"/>
      <c r="P102" s="185"/>
      <c r="Q102" s="185"/>
      <c r="R102" s="185"/>
    </row>
    <row r="103" spans="2:18" ht="12.75">
      <c r="B103" s="246"/>
      <c r="C103" s="246"/>
      <c r="D103" s="246"/>
      <c r="E103" s="199"/>
      <c r="F103" s="201"/>
      <c r="G103" s="204"/>
      <c r="H103" s="185"/>
      <c r="J103" s="185"/>
      <c r="K103" s="199"/>
      <c r="L103" s="199"/>
      <c r="M103" s="199"/>
      <c r="N103" s="199"/>
      <c r="O103" s="185"/>
      <c r="P103" s="185"/>
      <c r="Q103" s="185"/>
      <c r="R103" s="185"/>
    </row>
    <row r="104" spans="2:18" ht="12.75">
      <c r="B104" s="199"/>
      <c r="C104" s="199"/>
      <c r="D104" s="201"/>
      <c r="E104" s="199"/>
      <c r="F104" s="204"/>
      <c r="G104" s="204"/>
      <c r="H104" s="185"/>
      <c r="J104" s="185"/>
      <c r="K104" s="199"/>
      <c r="L104" s="199"/>
      <c r="M104" s="199"/>
      <c r="N104" s="199"/>
      <c r="O104" s="185"/>
      <c r="P104" s="185"/>
      <c r="Q104" s="185"/>
      <c r="R104" s="185"/>
    </row>
    <row r="105" spans="2:18" ht="12.75">
      <c r="B105" s="199"/>
      <c r="C105" s="199"/>
      <c r="D105" s="201"/>
      <c r="E105" s="199"/>
      <c r="F105" s="204"/>
      <c r="G105" s="204"/>
      <c r="H105" s="185"/>
      <c r="J105" s="185"/>
      <c r="K105" s="199"/>
      <c r="L105" s="199"/>
      <c r="M105" s="199"/>
      <c r="N105" s="199"/>
      <c r="O105" s="185"/>
      <c r="P105" s="185"/>
      <c r="Q105" s="185"/>
      <c r="R105" s="185"/>
    </row>
    <row r="106" spans="2:18" ht="12.75">
      <c r="B106" s="199"/>
      <c r="C106" s="199"/>
      <c r="D106" s="201"/>
      <c r="E106" s="199"/>
      <c r="F106" s="204"/>
      <c r="G106" s="204"/>
      <c r="H106" s="185"/>
      <c r="J106" s="185"/>
      <c r="K106" s="199"/>
      <c r="L106" s="199"/>
      <c r="M106" s="199"/>
      <c r="N106" s="199"/>
      <c r="O106" s="185"/>
      <c r="P106" s="185"/>
      <c r="Q106" s="185"/>
      <c r="R106" s="185"/>
    </row>
    <row r="107" spans="2:18" ht="12.75">
      <c r="B107" s="185"/>
      <c r="C107" s="185"/>
      <c r="D107" s="185"/>
      <c r="E107" s="199"/>
      <c r="F107" s="204"/>
      <c r="G107" s="204"/>
      <c r="H107" s="185"/>
      <c r="J107" s="185"/>
      <c r="K107" s="185"/>
      <c r="L107" s="185"/>
      <c r="M107" s="185"/>
      <c r="N107" s="185"/>
      <c r="O107" s="185"/>
      <c r="P107" s="185"/>
      <c r="Q107" s="185"/>
      <c r="R107" s="185"/>
    </row>
    <row r="108" spans="2:18" ht="12.75">
      <c r="B108" s="185"/>
      <c r="C108" s="185"/>
      <c r="D108" s="185"/>
      <c r="E108" s="199"/>
      <c r="F108" s="204"/>
      <c r="G108" s="204"/>
      <c r="H108" s="185"/>
      <c r="J108" s="185"/>
      <c r="K108" s="185"/>
      <c r="L108" s="185"/>
      <c r="M108" s="185"/>
      <c r="N108" s="185"/>
      <c r="O108" s="185"/>
      <c r="P108" s="185"/>
      <c r="Q108" s="185"/>
      <c r="R108" s="185"/>
    </row>
    <row r="109" spans="2:18" ht="12.75">
      <c r="B109" s="185"/>
      <c r="C109" s="185"/>
      <c r="D109" s="185"/>
      <c r="E109" s="199"/>
      <c r="F109" s="204"/>
      <c r="G109" s="204"/>
      <c r="H109" s="185"/>
      <c r="J109" s="185"/>
      <c r="K109" s="185"/>
      <c r="L109" s="185"/>
      <c r="M109" s="185"/>
      <c r="N109" s="185"/>
      <c r="O109" s="185"/>
      <c r="P109" s="185"/>
      <c r="Q109" s="185"/>
      <c r="R109" s="185"/>
    </row>
    <row r="110" spans="2:18" ht="12.75">
      <c r="B110" s="185"/>
      <c r="C110" s="185"/>
      <c r="D110" s="185"/>
      <c r="E110" s="199"/>
      <c r="F110" s="204"/>
      <c r="G110" s="204"/>
      <c r="H110" s="185"/>
      <c r="J110" s="185"/>
      <c r="K110" s="185"/>
      <c r="L110" s="185"/>
      <c r="M110" s="185"/>
      <c r="N110" s="185"/>
      <c r="O110" s="185"/>
      <c r="P110" s="185"/>
      <c r="Q110" s="185"/>
      <c r="R110" s="185"/>
    </row>
    <row r="111" spans="2:18" ht="12.75">
      <c r="B111" s="185"/>
      <c r="C111" s="185"/>
      <c r="D111" s="185"/>
      <c r="E111" s="199"/>
      <c r="F111" s="204"/>
      <c r="G111" s="204"/>
      <c r="H111" s="185"/>
      <c r="J111" s="185"/>
      <c r="K111" s="185"/>
      <c r="L111" s="185"/>
      <c r="M111" s="185"/>
      <c r="N111" s="185"/>
      <c r="O111" s="185"/>
      <c r="P111" s="185"/>
      <c r="Q111" s="185"/>
      <c r="R111" s="185"/>
    </row>
    <row r="112" spans="2:18" ht="12.75">
      <c r="B112" s="185"/>
      <c r="C112" s="185"/>
      <c r="D112" s="185"/>
      <c r="E112" s="199"/>
      <c r="F112" s="204"/>
      <c r="G112" s="204"/>
      <c r="H112" s="185"/>
      <c r="J112" s="185"/>
      <c r="K112" s="185"/>
      <c r="L112" s="185"/>
      <c r="M112" s="185"/>
      <c r="N112" s="185"/>
      <c r="O112" s="185"/>
      <c r="P112" s="185"/>
      <c r="Q112" s="185"/>
      <c r="R112" s="185"/>
    </row>
    <row r="113" spans="2:18" ht="12.75">
      <c r="B113" s="185"/>
      <c r="C113" s="185"/>
      <c r="D113" s="185"/>
      <c r="E113" s="199"/>
      <c r="F113" s="204"/>
      <c r="G113" s="204"/>
      <c r="H113" s="185"/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ht="12.75">
      <c r="B114" s="185"/>
      <c r="C114" s="185"/>
      <c r="D114" s="185"/>
      <c r="E114" s="199"/>
      <c r="F114" s="204"/>
      <c r="G114" s="204"/>
      <c r="H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2:18" ht="12.75">
      <c r="B115" s="185"/>
      <c r="C115" s="185"/>
      <c r="D115" s="185"/>
      <c r="E115" s="185"/>
      <c r="F115" s="204"/>
      <c r="G115" s="204"/>
      <c r="H115" s="185"/>
      <c r="J115" s="185"/>
      <c r="K115" s="185"/>
      <c r="L115" s="185"/>
      <c r="M115" s="185"/>
      <c r="N115" s="185"/>
      <c r="O115" s="185"/>
      <c r="P115" s="185"/>
      <c r="Q115" s="185"/>
      <c r="R115" s="185"/>
    </row>
    <row r="116" spans="2:18" ht="12.75">
      <c r="B116" s="185"/>
      <c r="C116" s="185"/>
      <c r="D116" s="185"/>
      <c r="E116" s="185"/>
      <c r="F116" s="185"/>
      <c r="G116" s="185"/>
      <c r="H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10:18" ht="12.75">
      <c r="J117" s="185"/>
      <c r="K117" s="185"/>
      <c r="L117" s="185"/>
      <c r="M117" s="185"/>
      <c r="N117" s="185"/>
      <c r="O117" s="185"/>
      <c r="P117" s="185"/>
      <c r="Q117" s="185"/>
      <c r="R117" s="185"/>
    </row>
    <row r="118" spans="10:18" ht="12.75">
      <c r="J118" s="185"/>
      <c r="K118" s="185"/>
      <c r="L118" s="185"/>
      <c r="M118" s="185"/>
      <c r="N118" s="185"/>
      <c r="O118" s="185"/>
      <c r="P118" s="185"/>
      <c r="Q118" s="185"/>
      <c r="R118" s="185"/>
    </row>
    <row r="119" spans="10:18" ht="12.75">
      <c r="J119" s="185"/>
      <c r="K119" s="185"/>
      <c r="L119" s="185"/>
      <c r="M119" s="185"/>
      <c r="N119" s="185"/>
      <c r="O119" s="185"/>
      <c r="P119" s="185"/>
      <c r="Q119" s="185"/>
      <c r="R119" s="185"/>
    </row>
    <row r="120" spans="10:18" ht="12.75">
      <c r="J120" s="185"/>
      <c r="K120" s="185"/>
      <c r="L120" s="185"/>
      <c r="M120" s="185"/>
      <c r="N120" s="185"/>
      <c r="O120" s="185"/>
      <c r="P120" s="185"/>
      <c r="Q120" s="185"/>
      <c r="R120" s="185"/>
    </row>
    <row r="121" spans="10:18" ht="12.75">
      <c r="J121" s="185"/>
      <c r="K121" s="185"/>
      <c r="L121" s="185"/>
      <c r="M121" s="185"/>
      <c r="N121" s="185"/>
      <c r="O121" s="185"/>
      <c r="P121" s="185"/>
      <c r="Q121" s="185"/>
      <c r="R121" s="185"/>
    </row>
    <row r="122" spans="10:18" ht="12.75">
      <c r="J122" s="185"/>
      <c r="K122" s="185"/>
      <c r="L122" s="185"/>
      <c r="M122" s="185"/>
      <c r="N122" s="185"/>
      <c r="O122" s="185"/>
      <c r="P122" s="185"/>
      <c r="Q122" s="185"/>
      <c r="R122" s="185"/>
    </row>
    <row r="123" spans="10:18" ht="12.75"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10:18" ht="12.75">
      <c r="J124" s="185"/>
      <c r="K124" s="185"/>
      <c r="L124" s="185"/>
      <c r="M124" s="185"/>
      <c r="N124" s="185"/>
      <c r="O124" s="185"/>
      <c r="P124" s="185"/>
      <c r="Q124" s="185"/>
      <c r="R124" s="185"/>
    </row>
    <row r="125" spans="10:18" ht="12.75">
      <c r="J125" s="185"/>
      <c r="K125" s="185"/>
      <c r="L125" s="185"/>
      <c r="M125" s="185"/>
      <c r="N125" s="185"/>
      <c r="O125" s="185"/>
      <c r="P125" s="185"/>
      <c r="Q125" s="185"/>
      <c r="R125" s="185"/>
    </row>
    <row r="126" spans="10:18" ht="12.75">
      <c r="J126" s="185"/>
      <c r="K126" s="185"/>
      <c r="L126" s="185"/>
      <c r="M126" s="185"/>
      <c r="N126" s="185"/>
      <c r="O126" s="185"/>
      <c r="P126" s="185"/>
      <c r="Q126" s="185"/>
      <c r="R126" s="185"/>
    </row>
    <row r="127" spans="10:18" ht="12.75">
      <c r="J127" s="185"/>
      <c r="K127" s="185"/>
      <c r="L127" s="185"/>
      <c r="M127" s="185"/>
      <c r="N127" s="185"/>
      <c r="O127" s="185"/>
      <c r="P127" s="185"/>
      <c r="Q127" s="185"/>
      <c r="R127" s="185"/>
    </row>
    <row r="128" spans="10:18" ht="12.75">
      <c r="J128" s="185"/>
      <c r="K128" s="185"/>
      <c r="L128" s="185"/>
      <c r="M128" s="185"/>
      <c r="N128" s="185"/>
      <c r="O128" s="185"/>
      <c r="P128" s="185"/>
      <c r="Q128" s="185"/>
      <c r="R128" s="185"/>
    </row>
    <row r="129" spans="10:18" ht="12.75">
      <c r="J129" s="185"/>
      <c r="K129" s="185"/>
      <c r="L129" s="185"/>
      <c r="M129" s="185"/>
      <c r="N129" s="185"/>
      <c r="O129" s="185"/>
      <c r="P129" s="185"/>
      <c r="Q129" s="185"/>
      <c r="R129" s="185"/>
    </row>
    <row r="130" spans="10:18" ht="12.75">
      <c r="J130" s="185"/>
      <c r="K130" s="185"/>
      <c r="L130" s="185"/>
      <c r="M130" s="185"/>
      <c r="N130" s="185"/>
      <c r="O130" s="185"/>
      <c r="P130" s="185"/>
      <c r="Q130" s="185"/>
      <c r="R130" s="185"/>
    </row>
    <row r="131" spans="10:18" ht="12.75">
      <c r="J131" s="185"/>
      <c r="K131" s="185"/>
      <c r="L131" s="185"/>
      <c r="M131" s="185"/>
      <c r="N131" s="185"/>
      <c r="O131" s="185"/>
      <c r="P131" s="185"/>
      <c r="Q131" s="185"/>
      <c r="R131" s="185"/>
    </row>
    <row r="132" spans="10:18" ht="12.75">
      <c r="J132" s="185"/>
      <c r="K132" s="185"/>
      <c r="L132" s="185"/>
      <c r="M132" s="185"/>
      <c r="N132" s="185"/>
      <c r="O132" s="185"/>
      <c r="P132" s="185"/>
      <c r="Q132" s="185"/>
      <c r="R132" s="185"/>
    </row>
    <row r="133" spans="10:18" ht="12.75">
      <c r="J133" s="185"/>
      <c r="K133" s="185"/>
      <c r="L133" s="185"/>
      <c r="M133" s="185"/>
      <c r="N133" s="185"/>
      <c r="O133" s="185"/>
      <c r="P133" s="185"/>
      <c r="Q133" s="185"/>
      <c r="R133" s="185"/>
    </row>
    <row r="134" spans="10:18" ht="12.75">
      <c r="J134" s="185"/>
      <c r="K134" s="185"/>
      <c r="L134" s="185"/>
      <c r="M134" s="185"/>
      <c r="N134" s="185"/>
      <c r="O134" s="185"/>
      <c r="P134" s="185"/>
      <c r="Q134" s="185"/>
      <c r="R134" s="185"/>
    </row>
    <row r="135" spans="10:18" ht="12.75">
      <c r="J135" s="185"/>
      <c r="K135" s="185"/>
      <c r="L135" s="185"/>
      <c r="M135" s="185"/>
      <c r="N135" s="185"/>
      <c r="O135" s="185"/>
      <c r="P135" s="185"/>
      <c r="Q135" s="185"/>
      <c r="R135" s="185"/>
    </row>
    <row r="136" spans="10:18" ht="12.75">
      <c r="J136" s="185"/>
      <c r="K136" s="185"/>
      <c r="L136" s="185"/>
      <c r="M136" s="185"/>
      <c r="N136" s="185"/>
      <c r="O136" s="185"/>
      <c r="P136" s="185"/>
      <c r="Q136" s="185"/>
      <c r="R136" s="185"/>
    </row>
    <row r="137" spans="10:18" ht="12.75">
      <c r="J137" s="185"/>
      <c r="K137" s="185"/>
      <c r="L137" s="185"/>
      <c r="M137" s="185"/>
      <c r="N137" s="185"/>
      <c r="O137" s="185"/>
      <c r="P137" s="185"/>
      <c r="Q137" s="185"/>
      <c r="R137" s="185"/>
    </row>
    <row r="138" spans="10:18" ht="12.75">
      <c r="J138" s="185"/>
      <c r="K138" s="185"/>
      <c r="L138" s="185"/>
      <c r="M138" s="185"/>
      <c r="N138" s="185"/>
      <c r="O138" s="185"/>
      <c r="P138" s="185"/>
      <c r="Q138" s="185"/>
      <c r="R138" s="185"/>
    </row>
    <row r="139" spans="10:18" ht="12.75">
      <c r="J139" s="185"/>
      <c r="K139" s="185"/>
      <c r="L139" s="185"/>
      <c r="M139" s="185"/>
      <c r="N139" s="185"/>
      <c r="O139" s="185"/>
      <c r="P139" s="185"/>
      <c r="Q139" s="185"/>
      <c r="R139" s="185"/>
    </row>
    <row r="140" spans="10:18" ht="12.75">
      <c r="J140" s="185"/>
      <c r="K140" s="185"/>
      <c r="L140" s="185"/>
      <c r="M140" s="185"/>
      <c r="N140" s="185"/>
      <c r="O140" s="185"/>
      <c r="P140" s="185"/>
      <c r="Q140" s="185"/>
      <c r="R140" s="185"/>
    </row>
    <row r="141" spans="10:18" ht="12.75">
      <c r="J141" s="185"/>
      <c r="K141" s="185"/>
      <c r="L141" s="185"/>
      <c r="M141" s="185"/>
      <c r="N141" s="185"/>
      <c r="O141" s="185"/>
      <c r="P141" s="185"/>
      <c r="Q141" s="185"/>
      <c r="R141" s="185"/>
    </row>
    <row r="142" spans="10:18" ht="12.75">
      <c r="J142" s="185"/>
      <c r="K142" s="185"/>
      <c r="L142" s="185"/>
      <c r="M142" s="185"/>
      <c r="N142" s="185"/>
      <c r="O142" s="185"/>
      <c r="P142" s="185"/>
      <c r="Q142" s="185"/>
      <c r="R142" s="185"/>
    </row>
    <row r="143" spans="10:18" ht="12.75">
      <c r="J143" s="185"/>
      <c r="K143" s="185"/>
      <c r="L143" s="185"/>
      <c r="M143" s="185"/>
      <c r="N143" s="185"/>
      <c r="O143" s="185"/>
      <c r="P143" s="185"/>
      <c r="Q143" s="185"/>
      <c r="R143" s="185"/>
    </row>
    <row r="144" spans="10:18" ht="12.75">
      <c r="J144" s="185"/>
      <c r="K144" s="185"/>
      <c r="L144" s="185"/>
      <c r="M144" s="185"/>
      <c r="N144" s="185"/>
      <c r="O144" s="185"/>
      <c r="P144" s="185"/>
      <c r="Q144" s="185"/>
      <c r="R144" s="185"/>
    </row>
    <row r="145" spans="10:18" ht="12.75">
      <c r="J145" s="185"/>
      <c r="K145" s="185"/>
      <c r="L145" s="185"/>
      <c r="M145" s="185"/>
      <c r="N145" s="185"/>
      <c r="O145" s="185"/>
      <c r="P145" s="185"/>
      <c r="Q145" s="185"/>
      <c r="R145" s="185"/>
    </row>
    <row r="146" spans="10:18" ht="12.75">
      <c r="J146" s="185"/>
      <c r="K146" s="185"/>
      <c r="L146" s="185"/>
      <c r="M146" s="185"/>
      <c r="N146" s="185"/>
      <c r="O146" s="185"/>
      <c r="P146" s="185"/>
      <c r="Q146" s="185"/>
      <c r="R146" s="185"/>
    </row>
    <row r="147" spans="10:18" ht="12.75">
      <c r="J147" s="185"/>
      <c r="K147" s="185"/>
      <c r="L147" s="185"/>
      <c r="M147" s="185"/>
      <c r="N147" s="185"/>
      <c r="O147" s="185"/>
      <c r="P147" s="185"/>
      <c r="Q147" s="185"/>
      <c r="R147" s="185"/>
    </row>
    <row r="148" spans="10:18" ht="12.75">
      <c r="J148" s="185"/>
      <c r="K148" s="185"/>
      <c r="L148" s="185"/>
      <c r="M148" s="185"/>
      <c r="N148" s="185"/>
      <c r="O148" s="185"/>
      <c r="P148" s="185"/>
      <c r="Q148" s="185"/>
      <c r="R148" s="185"/>
    </row>
    <row r="149" spans="10:18" ht="12.75">
      <c r="J149" s="185"/>
      <c r="K149" s="185"/>
      <c r="L149" s="185"/>
      <c r="M149" s="185"/>
      <c r="N149" s="185"/>
      <c r="O149" s="185"/>
      <c r="P149" s="185"/>
      <c r="Q149" s="185"/>
      <c r="R149" s="185"/>
    </row>
    <row r="150" spans="10:18" ht="12.75">
      <c r="J150" s="185"/>
      <c r="K150" s="185"/>
      <c r="L150" s="185"/>
      <c r="M150" s="185"/>
      <c r="N150" s="185"/>
      <c r="O150" s="185"/>
      <c r="P150" s="185"/>
      <c r="Q150" s="185"/>
      <c r="R150" s="185"/>
    </row>
    <row r="151" spans="10:18" ht="12.75">
      <c r="J151" s="185"/>
      <c r="K151" s="185"/>
      <c r="L151" s="185"/>
      <c r="M151" s="185"/>
      <c r="N151" s="185"/>
      <c r="O151" s="185"/>
      <c r="P151" s="185"/>
      <c r="Q151" s="185"/>
      <c r="R151" s="185"/>
    </row>
    <row r="152" spans="10:18" ht="12.75">
      <c r="J152" s="185"/>
      <c r="K152" s="185"/>
      <c r="L152" s="185"/>
      <c r="M152" s="185"/>
      <c r="N152" s="185"/>
      <c r="O152" s="185"/>
      <c r="P152" s="185"/>
      <c r="Q152" s="185"/>
      <c r="R152" s="185"/>
    </row>
    <row r="153" spans="1:18" ht="12.75">
      <c r="A153" s="199">
        <f>F34</f>
        <v>24.854761904761904</v>
      </c>
      <c r="J153" s="185"/>
      <c r="K153" s="185"/>
      <c r="L153" s="185"/>
      <c r="M153" s="185"/>
      <c r="N153" s="185"/>
      <c r="O153" s="185"/>
      <c r="P153" s="185"/>
      <c r="Q153" s="185"/>
      <c r="R153" s="185"/>
    </row>
    <row r="154" spans="1:18" ht="12.75">
      <c r="A154" s="199">
        <f aca="true" t="shared" si="0" ref="A154:A163">A153</f>
        <v>24.854761904761904</v>
      </c>
      <c r="J154" s="185"/>
      <c r="K154" s="185"/>
      <c r="L154" s="185"/>
      <c r="M154" s="185"/>
      <c r="N154" s="185"/>
      <c r="O154" s="185"/>
      <c r="P154" s="185"/>
      <c r="Q154" s="185"/>
      <c r="R154" s="185"/>
    </row>
    <row r="155" spans="1:18" ht="12.75">
      <c r="A155" s="199">
        <f t="shared" si="0"/>
        <v>24.854761904761904</v>
      </c>
      <c r="J155" s="185"/>
      <c r="K155" s="185"/>
      <c r="L155" s="185"/>
      <c r="M155" s="185"/>
      <c r="N155" s="185"/>
      <c r="O155" s="185"/>
      <c r="P155" s="185"/>
      <c r="Q155" s="185"/>
      <c r="R155" s="185"/>
    </row>
    <row r="156" spans="1:18" ht="12.75">
      <c r="A156" s="199">
        <f t="shared" si="0"/>
        <v>24.854761904761904</v>
      </c>
      <c r="J156" s="185"/>
      <c r="K156" s="185"/>
      <c r="L156" s="185"/>
      <c r="M156" s="185"/>
      <c r="N156" s="185"/>
      <c r="O156" s="185"/>
      <c r="P156" s="185"/>
      <c r="Q156" s="185"/>
      <c r="R156" s="185"/>
    </row>
    <row r="157" spans="1:18" ht="12.75">
      <c r="A157" s="199">
        <f t="shared" si="0"/>
        <v>24.854761904761904</v>
      </c>
      <c r="J157" s="185"/>
      <c r="K157" s="185"/>
      <c r="L157" s="185"/>
      <c r="M157" s="185"/>
      <c r="N157" s="185"/>
      <c r="O157" s="185"/>
      <c r="P157" s="185"/>
      <c r="Q157" s="185"/>
      <c r="R157" s="185"/>
    </row>
    <row r="158" spans="1:18" ht="12.75">
      <c r="A158" s="199">
        <f t="shared" si="0"/>
        <v>24.854761904761904</v>
      </c>
      <c r="J158" s="185"/>
      <c r="K158" s="185"/>
      <c r="L158" s="185"/>
      <c r="M158" s="185"/>
      <c r="N158" s="185"/>
      <c r="O158" s="185"/>
      <c r="P158" s="185"/>
      <c r="Q158" s="185"/>
      <c r="R158" s="185"/>
    </row>
    <row r="159" spans="1:18" ht="12.75">
      <c r="A159" s="199">
        <f t="shared" si="0"/>
        <v>24.854761904761904</v>
      </c>
      <c r="J159" s="185"/>
      <c r="K159" s="185"/>
      <c r="L159" s="185"/>
      <c r="M159" s="185"/>
      <c r="N159" s="185"/>
      <c r="O159" s="185"/>
      <c r="P159" s="185"/>
      <c r="Q159" s="185"/>
      <c r="R159" s="185"/>
    </row>
    <row r="160" spans="1:18" ht="12.75">
      <c r="A160" s="199">
        <f t="shared" si="0"/>
        <v>24.854761904761904</v>
      </c>
      <c r="J160" s="185"/>
      <c r="K160" s="185"/>
      <c r="L160" s="185"/>
      <c r="M160" s="185"/>
      <c r="N160" s="185"/>
      <c r="O160" s="185"/>
      <c r="P160" s="185"/>
      <c r="Q160" s="185"/>
      <c r="R160" s="185"/>
    </row>
    <row r="161" spans="1:18" ht="12.75">
      <c r="A161" s="199">
        <f t="shared" si="0"/>
        <v>24.854761904761904</v>
      </c>
      <c r="J161" s="185"/>
      <c r="K161" s="185"/>
      <c r="L161" s="185"/>
      <c r="M161" s="185"/>
      <c r="N161" s="185"/>
      <c r="O161" s="185"/>
      <c r="P161" s="185"/>
      <c r="Q161" s="185"/>
      <c r="R161" s="185"/>
    </row>
    <row r="162" spans="1:18" ht="12.75">
      <c r="A162" s="199">
        <f t="shared" si="0"/>
        <v>24.854761904761904</v>
      </c>
      <c r="J162" s="185"/>
      <c r="K162" s="185"/>
      <c r="L162" s="185"/>
      <c r="M162" s="185"/>
      <c r="N162" s="185"/>
      <c r="O162" s="185"/>
      <c r="P162" s="185"/>
      <c r="Q162" s="185"/>
      <c r="R162" s="185"/>
    </row>
    <row r="163" spans="1:18" ht="12.75">
      <c r="A163" s="199">
        <f t="shared" si="0"/>
        <v>24.854761904761904</v>
      </c>
      <c r="J163" s="185"/>
      <c r="K163" s="185"/>
      <c r="L163" s="185"/>
      <c r="M163" s="185"/>
      <c r="N163" s="185"/>
      <c r="O163" s="185"/>
      <c r="P163" s="185"/>
      <c r="Q163" s="185"/>
      <c r="R163" s="185"/>
    </row>
    <row r="164" spans="10:18" ht="12.75">
      <c r="J164" s="185"/>
      <c r="K164" s="185"/>
      <c r="L164" s="185"/>
      <c r="M164" s="185"/>
      <c r="N164" s="185"/>
      <c r="O164" s="185"/>
      <c r="P164" s="185"/>
      <c r="Q164" s="185"/>
      <c r="R164" s="185"/>
    </row>
    <row r="165" spans="10:18" ht="12.75">
      <c r="J165" s="185"/>
      <c r="K165" s="185"/>
      <c r="L165" s="185"/>
      <c r="M165" s="185"/>
      <c r="N165" s="185"/>
      <c r="O165" s="185"/>
      <c r="P165" s="185"/>
      <c r="Q165" s="185"/>
      <c r="R165" s="185"/>
    </row>
    <row r="166" spans="1:18" ht="12.75">
      <c r="A166" s="199">
        <f>F42</f>
        <v>0</v>
      </c>
      <c r="J166" s="185"/>
      <c r="K166" s="185"/>
      <c r="L166" s="185"/>
      <c r="M166" s="185"/>
      <c r="N166" s="185"/>
      <c r="O166" s="185"/>
      <c r="P166" s="185"/>
      <c r="Q166" s="185"/>
      <c r="R166" s="185"/>
    </row>
    <row r="167" spans="1:18" ht="12.75">
      <c r="A167" s="199">
        <f>A166</f>
        <v>0</v>
      </c>
      <c r="J167" s="185"/>
      <c r="K167" s="185"/>
      <c r="L167" s="185"/>
      <c r="M167" s="185"/>
      <c r="N167" s="185"/>
      <c r="O167" s="185"/>
      <c r="P167" s="185"/>
      <c r="Q167" s="185"/>
      <c r="R167" s="185"/>
    </row>
    <row r="168" spans="1:18" ht="12.75">
      <c r="A168" s="199">
        <f aca="true" t="shared" si="1" ref="A168:A175">A167</f>
        <v>0</v>
      </c>
      <c r="J168" s="185"/>
      <c r="K168" s="185"/>
      <c r="L168" s="185"/>
      <c r="M168" s="185"/>
      <c r="N168" s="185"/>
      <c r="O168" s="185"/>
      <c r="P168" s="185"/>
      <c r="Q168" s="185"/>
      <c r="R168" s="185"/>
    </row>
    <row r="169" spans="1:18" ht="12.75">
      <c r="A169" s="199">
        <f t="shared" si="1"/>
        <v>0</v>
      </c>
      <c r="J169" s="185"/>
      <c r="K169" s="185"/>
      <c r="L169" s="185"/>
      <c r="M169" s="185"/>
      <c r="N169" s="185"/>
      <c r="O169" s="185"/>
      <c r="P169" s="185"/>
      <c r="Q169" s="185"/>
      <c r="R169" s="185"/>
    </row>
    <row r="170" spans="1:18" ht="12.75">
      <c r="A170" s="199">
        <f t="shared" si="1"/>
        <v>0</v>
      </c>
      <c r="J170" s="185"/>
      <c r="K170" s="185"/>
      <c r="L170" s="185"/>
      <c r="M170" s="185"/>
      <c r="N170" s="185"/>
      <c r="O170" s="185"/>
      <c r="P170" s="185"/>
      <c r="Q170" s="185"/>
      <c r="R170" s="185"/>
    </row>
    <row r="171" spans="1:18" ht="12.75">
      <c r="A171" s="199">
        <f t="shared" si="1"/>
        <v>0</v>
      </c>
      <c r="J171" s="185"/>
      <c r="K171" s="185"/>
      <c r="L171" s="185"/>
      <c r="M171" s="185"/>
      <c r="N171" s="185"/>
      <c r="O171" s="185"/>
      <c r="P171" s="185"/>
      <c r="Q171" s="185"/>
      <c r="R171" s="185"/>
    </row>
    <row r="172" spans="1:18" ht="12.75">
      <c r="A172" s="199">
        <f t="shared" si="1"/>
        <v>0</v>
      </c>
      <c r="J172" s="185"/>
      <c r="K172" s="185"/>
      <c r="L172" s="185"/>
      <c r="M172" s="185"/>
      <c r="N172" s="185"/>
      <c r="O172" s="185"/>
      <c r="P172" s="185"/>
      <c r="Q172" s="185"/>
      <c r="R172" s="185"/>
    </row>
    <row r="173" spans="1:18" ht="12.75">
      <c r="A173" s="199">
        <f t="shared" si="1"/>
        <v>0</v>
      </c>
      <c r="J173" s="185"/>
      <c r="K173" s="185"/>
      <c r="L173" s="185"/>
      <c r="M173" s="185"/>
      <c r="N173" s="185"/>
      <c r="O173" s="185"/>
      <c r="P173" s="185"/>
      <c r="Q173" s="185"/>
      <c r="R173" s="185"/>
    </row>
    <row r="174" spans="1:18" ht="12.75">
      <c r="A174" s="199">
        <f t="shared" si="1"/>
        <v>0</v>
      </c>
      <c r="J174" s="185"/>
      <c r="K174" s="185"/>
      <c r="L174" s="185"/>
      <c r="M174" s="185"/>
      <c r="N174" s="185"/>
      <c r="O174" s="185"/>
      <c r="P174" s="185"/>
      <c r="Q174" s="185"/>
      <c r="R174" s="185"/>
    </row>
    <row r="175" spans="1:18" ht="12.75">
      <c r="A175" s="199">
        <f t="shared" si="1"/>
        <v>0</v>
      </c>
      <c r="J175" s="185"/>
      <c r="K175" s="185"/>
      <c r="L175" s="185"/>
      <c r="M175" s="185"/>
      <c r="N175" s="185"/>
      <c r="O175" s="185"/>
      <c r="P175" s="185"/>
      <c r="Q175" s="185"/>
      <c r="R175" s="185"/>
    </row>
    <row r="176" spans="1:18" ht="12.75">
      <c r="A176" s="199">
        <f>A175</f>
        <v>0</v>
      </c>
      <c r="J176" s="185"/>
      <c r="K176" s="185"/>
      <c r="L176" s="185"/>
      <c r="M176" s="185"/>
      <c r="N176" s="185"/>
      <c r="O176" s="185"/>
      <c r="P176" s="185"/>
      <c r="Q176" s="185"/>
      <c r="R176" s="185"/>
    </row>
    <row r="177" spans="10:18" ht="12.75">
      <c r="J177" s="185"/>
      <c r="K177" s="185"/>
      <c r="L177" s="185"/>
      <c r="M177" s="185"/>
      <c r="N177" s="185"/>
      <c r="O177" s="185"/>
      <c r="P177" s="185"/>
      <c r="Q177" s="185"/>
      <c r="R177" s="185"/>
    </row>
    <row r="178" spans="1:18" ht="12.75">
      <c r="A178" s="199">
        <f>F47</f>
        <v>0</v>
      </c>
      <c r="J178" s="185"/>
      <c r="K178" s="185"/>
      <c r="L178" s="185"/>
      <c r="M178" s="185"/>
      <c r="N178" s="185"/>
      <c r="O178" s="185"/>
      <c r="P178" s="185"/>
      <c r="Q178" s="185"/>
      <c r="R178" s="185"/>
    </row>
    <row r="179" spans="1:18" ht="12.75">
      <c r="A179" s="199">
        <f aca="true" t="shared" si="2" ref="A179:A190">A178</f>
        <v>0</v>
      </c>
      <c r="J179" s="185"/>
      <c r="K179" s="185"/>
      <c r="L179" s="185"/>
      <c r="M179" s="185"/>
      <c r="N179" s="185"/>
      <c r="O179" s="185"/>
      <c r="P179" s="185"/>
      <c r="Q179" s="185"/>
      <c r="R179" s="185"/>
    </row>
    <row r="180" spans="1:18" ht="12.75">
      <c r="A180" s="199">
        <f t="shared" si="2"/>
        <v>0</v>
      </c>
      <c r="J180" s="185"/>
      <c r="K180" s="185"/>
      <c r="L180" s="185"/>
      <c r="M180" s="185"/>
      <c r="N180" s="185"/>
      <c r="O180" s="185"/>
      <c r="P180" s="185"/>
      <c r="Q180" s="185"/>
      <c r="R180" s="185"/>
    </row>
    <row r="181" spans="1:18" ht="12.75">
      <c r="A181" s="199">
        <f t="shared" si="2"/>
        <v>0</v>
      </c>
      <c r="J181" s="185"/>
      <c r="K181" s="185"/>
      <c r="L181" s="185"/>
      <c r="M181" s="185"/>
      <c r="N181" s="185"/>
      <c r="O181" s="185"/>
      <c r="P181" s="185"/>
      <c r="Q181" s="185"/>
      <c r="R181" s="185"/>
    </row>
    <row r="182" spans="1:18" ht="12.75">
      <c r="A182" s="199">
        <f t="shared" si="2"/>
        <v>0</v>
      </c>
      <c r="J182" s="185"/>
      <c r="K182" s="185"/>
      <c r="L182" s="185"/>
      <c r="M182" s="185"/>
      <c r="N182" s="185"/>
      <c r="O182" s="185"/>
      <c r="P182" s="185"/>
      <c r="Q182" s="185"/>
      <c r="R182" s="185"/>
    </row>
    <row r="183" spans="1:18" ht="12.75">
      <c r="A183" s="199">
        <f t="shared" si="2"/>
        <v>0</v>
      </c>
      <c r="J183" s="185"/>
      <c r="K183" s="185"/>
      <c r="L183" s="185"/>
      <c r="M183" s="185"/>
      <c r="N183" s="185"/>
      <c r="O183" s="185"/>
      <c r="P183" s="185"/>
      <c r="Q183" s="185"/>
      <c r="R183" s="185"/>
    </row>
    <row r="184" spans="1:18" ht="12.75">
      <c r="A184" s="199">
        <f t="shared" si="2"/>
        <v>0</v>
      </c>
      <c r="J184" s="185"/>
      <c r="K184" s="185"/>
      <c r="L184" s="185"/>
      <c r="M184" s="185"/>
      <c r="N184" s="185"/>
      <c r="O184" s="185"/>
      <c r="P184" s="185"/>
      <c r="Q184" s="185"/>
      <c r="R184" s="185"/>
    </row>
    <row r="185" spans="1:18" ht="12.75">
      <c r="A185" s="199">
        <f t="shared" si="2"/>
        <v>0</v>
      </c>
      <c r="J185" s="185"/>
      <c r="K185" s="185"/>
      <c r="L185" s="185"/>
      <c r="M185" s="185"/>
      <c r="N185" s="185"/>
      <c r="O185" s="185"/>
      <c r="P185" s="185"/>
      <c r="Q185" s="185"/>
      <c r="R185" s="185"/>
    </row>
    <row r="186" spans="1:18" ht="12.75">
      <c r="A186" s="199">
        <f t="shared" si="2"/>
        <v>0</v>
      </c>
      <c r="J186" s="185"/>
      <c r="K186" s="185"/>
      <c r="L186" s="185"/>
      <c r="M186" s="185"/>
      <c r="N186" s="185"/>
      <c r="O186" s="185"/>
      <c r="P186" s="185"/>
      <c r="Q186" s="185"/>
      <c r="R186" s="185"/>
    </row>
    <row r="187" spans="1:18" ht="12.75">
      <c r="A187" s="199">
        <f t="shared" si="2"/>
        <v>0</v>
      </c>
      <c r="J187" s="185"/>
      <c r="K187" s="185"/>
      <c r="L187" s="185"/>
      <c r="M187" s="185"/>
      <c r="N187" s="185"/>
      <c r="O187" s="185"/>
      <c r="P187" s="185"/>
      <c r="Q187" s="185"/>
      <c r="R187" s="185"/>
    </row>
    <row r="188" spans="1:18" ht="12.75">
      <c r="A188" s="199">
        <f t="shared" si="2"/>
        <v>0</v>
      </c>
      <c r="J188" s="185"/>
      <c r="K188" s="185"/>
      <c r="L188" s="185"/>
      <c r="M188" s="185"/>
      <c r="N188" s="185"/>
      <c r="O188" s="185"/>
      <c r="P188" s="185"/>
      <c r="Q188" s="185"/>
      <c r="R188" s="185"/>
    </row>
    <row r="189" spans="1:18" ht="12.75">
      <c r="A189" s="199">
        <f t="shared" si="2"/>
        <v>0</v>
      </c>
      <c r="J189" s="185"/>
      <c r="K189" s="185"/>
      <c r="L189" s="185"/>
      <c r="M189" s="185"/>
      <c r="N189" s="185"/>
      <c r="O189" s="185"/>
      <c r="P189" s="185"/>
      <c r="Q189" s="185"/>
      <c r="R189" s="185"/>
    </row>
    <row r="190" spans="1:18" ht="12.75">
      <c r="A190" s="199">
        <f t="shared" si="2"/>
        <v>0</v>
      </c>
      <c r="J190" s="185"/>
      <c r="K190" s="185"/>
      <c r="L190" s="185"/>
      <c r="M190" s="185"/>
      <c r="N190" s="185"/>
      <c r="O190" s="185"/>
      <c r="P190" s="185"/>
      <c r="Q190" s="185"/>
      <c r="R190" s="185"/>
    </row>
    <row r="191" spans="10:18" ht="12.75">
      <c r="J191" s="185"/>
      <c r="K191" s="185"/>
      <c r="L191" s="185"/>
      <c r="M191" s="185"/>
      <c r="N191" s="185"/>
      <c r="O191" s="185"/>
      <c r="P191" s="185"/>
      <c r="Q191" s="185"/>
      <c r="R191" s="185"/>
    </row>
    <row r="192" spans="10:18" ht="12.75">
      <c r="J192" s="185"/>
      <c r="K192" s="185"/>
      <c r="L192" s="185"/>
      <c r="M192" s="185"/>
      <c r="N192" s="185"/>
      <c r="O192" s="185"/>
      <c r="P192" s="185"/>
      <c r="Q192" s="185"/>
      <c r="R192" s="185"/>
    </row>
    <row r="193" spans="10:18" ht="12.75">
      <c r="J193" s="185"/>
      <c r="K193" s="185"/>
      <c r="L193" s="185"/>
      <c r="M193" s="185"/>
      <c r="N193" s="185"/>
      <c r="O193" s="185"/>
      <c r="P193" s="185"/>
      <c r="Q193" s="185"/>
      <c r="R193" s="185"/>
    </row>
    <row r="194" spans="10:18" ht="12.75">
      <c r="J194" s="185"/>
      <c r="K194" s="185"/>
      <c r="L194" s="185"/>
      <c r="M194" s="185"/>
      <c r="N194" s="185"/>
      <c r="O194" s="185"/>
      <c r="P194" s="185"/>
      <c r="Q194" s="185"/>
      <c r="R194" s="185"/>
    </row>
    <row r="195" spans="10:18" ht="12.75">
      <c r="J195" s="185"/>
      <c r="K195" s="185"/>
      <c r="L195" s="185"/>
      <c r="M195" s="185"/>
      <c r="N195" s="185"/>
      <c r="O195" s="185"/>
      <c r="P195" s="185"/>
      <c r="Q195" s="185"/>
      <c r="R195" s="185"/>
    </row>
    <row r="196" spans="10:18" ht="12.75">
      <c r="J196" s="185"/>
      <c r="K196" s="185"/>
      <c r="L196" s="185"/>
      <c r="M196" s="185"/>
      <c r="N196" s="185"/>
      <c r="O196" s="185"/>
      <c r="P196" s="185"/>
      <c r="Q196" s="185"/>
      <c r="R196" s="185"/>
    </row>
    <row r="197" spans="10:18" ht="12.75">
      <c r="J197" s="185"/>
      <c r="K197" s="185"/>
      <c r="L197" s="185"/>
      <c r="M197" s="185"/>
      <c r="N197" s="185"/>
      <c r="O197" s="185"/>
      <c r="P197" s="185"/>
      <c r="Q197" s="185"/>
      <c r="R197" s="185"/>
    </row>
    <row r="198" spans="10:18" ht="12.75">
      <c r="J198" s="185"/>
      <c r="K198" s="185"/>
      <c r="L198" s="185"/>
      <c r="M198" s="185"/>
      <c r="N198" s="185"/>
      <c r="O198" s="185"/>
      <c r="P198" s="185"/>
      <c r="Q198" s="185"/>
      <c r="R198" s="185"/>
    </row>
    <row r="199" spans="10:18" ht="12.75">
      <c r="J199" s="185"/>
      <c r="K199" s="185"/>
      <c r="L199" s="185"/>
      <c r="M199" s="185"/>
      <c r="N199" s="185"/>
      <c r="O199" s="185"/>
      <c r="P199" s="185"/>
      <c r="Q199" s="185"/>
      <c r="R199" s="185"/>
    </row>
    <row r="200" spans="10:18" ht="12.75">
      <c r="J200" s="185"/>
      <c r="K200" s="185"/>
      <c r="L200" s="185"/>
      <c r="M200" s="185"/>
      <c r="N200" s="185"/>
      <c r="O200" s="185"/>
      <c r="P200" s="185"/>
      <c r="Q200" s="185"/>
      <c r="R200" s="185"/>
    </row>
    <row r="201" spans="10:18" ht="12.75">
      <c r="J201" s="185"/>
      <c r="K201" s="185"/>
      <c r="L201" s="185"/>
      <c r="M201" s="185"/>
      <c r="N201" s="185"/>
      <c r="O201" s="185"/>
      <c r="P201" s="185"/>
      <c r="Q201" s="185"/>
      <c r="R201" s="185"/>
    </row>
    <row r="202" spans="10:18" ht="12.75">
      <c r="J202" s="185"/>
      <c r="K202" s="185"/>
      <c r="L202" s="185"/>
      <c r="M202" s="185"/>
      <c r="N202" s="185"/>
      <c r="O202" s="185"/>
      <c r="P202" s="185"/>
      <c r="Q202" s="185"/>
      <c r="R202" s="185"/>
    </row>
    <row r="203" spans="10:18" ht="12.75">
      <c r="J203" s="185"/>
      <c r="K203" s="185"/>
      <c r="L203" s="185"/>
      <c r="M203" s="185"/>
      <c r="N203" s="185"/>
      <c r="O203" s="185"/>
      <c r="P203" s="185"/>
      <c r="Q203" s="185"/>
      <c r="R203" s="185"/>
    </row>
    <row r="204" spans="10:18" ht="12.75">
      <c r="J204" s="185"/>
      <c r="K204" s="185"/>
      <c r="L204" s="185"/>
      <c r="M204" s="185"/>
      <c r="N204" s="185"/>
      <c r="O204" s="185"/>
      <c r="P204" s="185"/>
      <c r="Q204" s="185"/>
      <c r="R204" s="185"/>
    </row>
    <row r="205" spans="10:18" ht="12.75">
      <c r="J205" s="185"/>
      <c r="K205" s="185"/>
      <c r="L205" s="185"/>
      <c r="M205" s="185"/>
      <c r="N205" s="185"/>
      <c r="O205" s="185"/>
      <c r="P205" s="185"/>
      <c r="Q205" s="185"/>
      <c r="R205" s="185"/>
    </row>
    <row r="206" spans="10:18" ht="12.75">
      <c r="J206" s="185"/>
      <c r="K206" s="185"/>
      <c r="L206" s="185"/>
      <c r="M206" s="185"/>
      <c r="N206" s="185"/>
      <c r="O206" s="185"/>
      <c r="P206" s="185"/>
      <c r="Q206" s="185"/>
      <c r="R206" s="185"/>
    </row>
    <row r="207" spans="10:18" ht="12.75">
      <c r="J207" s="185"/>
      <c r="K207" s="185"/>
      <c r="L207" s="185"/>
      <c r="M207" s="185"/>
      <c r="N207" s="185"/>
      <c r="O207" s="185"/>
      <c r="P207" s="185"/>
      <c r="Q207" s="185"/>
      <c r="R207" s="185"/>
    </row>
    <row r="208" spans="10:18" ht="12.75">
      <c r="J208" s="185"/>
      <c r="K208" s="185"/>
      <c r="L208" s="185"/>
      <c r="M208" s="185"/>
      <c r="N208" s="185"/>
      <c r="O208" s="185"/>
      <c r="P208" s="185"/>
      <c r="Q208" s="185"/>
      <c r="R208" s="185"/>
    </row>
    <row r="209" spans="10:18" ht="12.75">
      <c r="J209" s="185"/>
      <c r="K209" s="185"/>
      <c r="L209" s="185"/>
      <c r="M209" s="185"/>
      <c r="N209" s="185"/>
      <c r="O209" s="185"/>
      <c r="P209" s="185"/>
      <c r="Q209" s="185"/>
      <c r="R209" s="185"/>
    </row>
    <row r="210" spans="10:18" ht="12.75">
      <c r="J210" s="185"/>
      <c r="K210" s="185"/>
      <c r="L210" s="185"/>
      <c r="M210" s="185"/>
      <c r="N210" s="185"/>
      <c r="O210" s="185"/>
      <c r="P210" s="185"/>
      <c r="Q210" s="185"/>
      <c r="R210" s="185"/>
    </row>
    <row r="211" spans="10:18" ht="12.75">
      <c r="J211" s="185"/>
      <c r="K211" s="185"/>
      <c r="L211" s="185"/>
      <c r="M211" s="185"/>
      <c r="N211" s="185"/>
      <c r="O211" s="185"/>
      <c r="P211" s="185"/>
      <c r="Q211" s="185"/>
      <c r="R211" s="185"/>
    </row>
    <row r="212" spans="10:18" ht="12.75">
      <c r="J212" s="185"/>
      <c r="K212" s="185"/>
      <c r="L212" s="185"/>
      <c r="M212" s="185"/>
      <c r="N212" s="185"/>
      <c r="O212" s="185"/>
      <c r="P212" s="185"/>
      <c r="Q212" s="185"/>
      <c r="R212" s="185"/>
    </row>
    <row r="213" spans="10:18" ht="12.75">
      <c r="J213" s="185"/>
      <c r="K213" s="185"/>
      <c r="L213" s="185"/>
      <c r="M213" s="185"/>
      <c r="N213" s="185"/>
      <c r="O213" s="185"/>
      <c r="P213" s="185"/>
      <c r="Q213" s="185"/>
      <c r="R213" s="185"/>
    </row>
    <row r="214" spans="10:18" ht="12.75">
      <c r="J214" s="185"/>
      <c r="K214" s="185"/>
      <c r="L214" s="185"/>
      <c r="M214" s="185"/>
      <c r="N214" s="185"/>
      <c r="O214" s="185"/>
      <c r="P214" s="185"/>
      <c r="Q214" s="185"/>
      <c r="R214" s="185"/>
    </row>
    <row r="215" spans="10:18" ht="12.75">
      <c r="J215" s="185"/>
      <c r="K215" s="185"/>
      <c r="L215" s="185"/>
      <c r="M215" s="185"/>
      <c r="N215" s="185"/>
      <c r="O215" s="185"/>
      <c r="P215" s="185"/>
      <c r="Q215" s="185"/>
      <c r="R215" s="185"/>
    </row>
    <row r="216" spans="10:18" ht="12.75">
      <c r="J216" s="185"/>
      <c r="K216" s="185"/>
      <c r="L216" s="185"/>
      <c r="M216" s="185"/>
      <c r="N216" s="185"/>
      <c r="O216" s="185"/>
      <c r="P216" s="185"/>
      <c r="Q216" s="185"/>
      <c r="R216" s="185"/>
    </row>
    <row r="217" spans="10:18" ht="12.75">
      <c r="J217" s="185"/>
      <c r="K217" s="185"/>
      <c r="L217" s="185"/>
      <c r="M217" s="185"/>
      <c r="N217" s="185"/>
      <c r="O217" s="185"/>
      <c r="P217" s="185"/>
      <c r="Q217" s="185"/>
      <c r="R217" s="185"/>
    </row>
    <row r="218" spans="10:18" ht="12.75">
      <c r="J218" s="185"/>
      <c r="K218" s="185"/>
      <c r="L218" s="185"/>
      <c r="M218" s="185"/>
      <c r="N218" s="185"/>
      <c r="O218" s="185"/>
      <c r="P218" s="185"/>
      <c r="Q218" s="185"/>
      <c r="R218" s="185"/>
    </row>
    <row r="219" spans="10:18" ht="12.75">
      <c r="J219" s="185"/>
      <c r="K219" s="185"/>
      <c r="L219" s="185"/>
      <c r="M219" s="185"/>
      <c r="N219" s="185"/>
      <c r="O219" s="185"/>
      <c r="P219" s="185"/>
      <c r="Q219" s="185"/>
      <c r="R219" s="185"/>
    </row>
    <row r="220" spans="10:18" ht="12.75">
      <c r="J220" s="185"/>
      <c r="K220" s="185"/>
      <c r="L220" s="185"/>
      <c r="M220" s="185"/>
      <c r="N220" s="185"/>
      <c r="O220" s="185"/>
      <c r="P220" s="185"/>
      <c r="Q220" s="185"/>
      <c r="R220" s="185"/>
    </row>
    <row r="221" spans="10:18" ht="12.75">
      <c r="J221" s="185"/>
      <c r="K221" s="185"/>
      <c r="L221" s="185"/>
      <c r="M221" s="185"/>
      <c r="N221" s="185"/>
      <c r="O221" s="185"/>
      <c r="P221" s="185"/>
      <c r="Q221" s="185"/>
      <c r="R221" s="185"/>
    </row>
    <row r="222" spans="10:18" ht="12.75">
      <c r="J222" s="185"/>
      <c r="K222" s="185"/>
      <c r="L222" s="185"/>
      <c r="M222" s="185"/>
      <c r="N222" s="185"/>
      <c r="O222" s="185"/>
      <c r="P222" s="185"/>
      <c r="Q222" s="185"/>
      <c r="R222" s="185"/>
    </row>
    <row r="223" spans="10:18" ht="12.75">
      <c r="J223" s="185"/>
      <c r="K223" s="185"/>
      <c r="L223" s="185"/>
      <c r="M223" s="185"/>
      <c r="N223" s="185"/>
      <c r="O223" s="185"/>
      <c r="P223" s="185"/>
      <c r="Q223" s="185"/>
      <c r="R223" s="185"/>
    </row>
    <row r="224" spans="10:18" ht="12.75">
      <c r="J224" s="185"/>
      <c r="K224" s="185"/>
      <c r="L224" s="185"/>
      <c r="M224" s="185"/>
      <c r="N224" s="185"/>
      <c r="O224" s="185"/>
      <c r="P224" s="185"/>
      <c r="Q224" s="185"/>
      <c r="R224" s="185"/>
    </row>
  </sheetData>
  <sheetProtection sheet="1" objects="1" scenarios="1"/>
  <mergeCells count="41">
    <mergeCell ref="I12:M12"/>
    <mergeCell ref="L37:M37"/>
    <mergeCell ref="D31:K32"/>
    <mergeCell ref="L34:M34"/>
    <mergeCell ref="B12:G12"/>
    <mergeCell ref="I16:M16"/>
    <mergeCell ref="H38:K38"/>
    <mergeCell ref="L38:M38"/>
    <mergeCell ref="C34:E34"/>
    <mergeCell ref="H34:K34"/>
    <mergeCell ref="L35:M35"/>
    <mergeCell ref="H35:K35"/>
    <mergeCell ref="H36:K36"/>
    <mergeCell ref="L36:M36"/>
    <mergeCell ref="H50:K50"/>
    <mergeCell ref="L50:M50"/>
    <mergeCell ref="H43:K43"/>
    <mergeCell ref="L43:M43"/>
    <mergeCell ref="H49:K49"/>
    <mergeCell ref="L49:M49"/>
    <mergeCell ref="H47:K47"/>
    <mergeCell ref="H48:K48"/>
    <mergeCell ref="L48:M48"/>
    <mergeCell ref="L47:M47"/>
    <mergeCell ref="B103:D103"/>
    <mergeCell ref="C36:E36"/>
    <mergeCell ref="C38:F39"/>
    <mergeCell ref="C44:F45"/>
    <mergeCell ref="C49:F50"/>
    <mergeCell ref="C43:E43"/>
    <mergeCell ref="C42:E42"/>
    <mergeCell ref="C48:E48"/>
    <mergeCell ref="C47:E47"/>
    <mergeCell ref="H39:K39"/>
    <mergeCell ref="L39:M39"/>
    <mergeCell ref="H45:K45"/>
    <mergeCell ref="L45:M45"/>
    <mergeCell ref="H44:K44"/>
    <mergeCell ref="L44:M44"/>
    <mergeCell ref="H42:K42"/>
    <mergeCell ref="L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N2:Q30"/>
  <sheetViews>
    <sheetView workbookViewId="0" topLeftCell="A1">
      <selection activeCell="S12" sqref="S12"/>
    </sheetView>
  </sheetViews>
  <sheetFormatPr defaultColWidth="9.140625" defaultRowHeight="12.75"/>
  <cols>
    <col min="1" max="1" width="2.57421875" style="207" customWidth="1"/>
    <col min="2" max="12" width="9.140625" style="207" customWidth="1"/>
    <col min="13" max="13" width="2.28125" style="207" customWidth="1"/>
    <col min="14" max="14" width="18.57421875" style="207" customWidth="1"/>
    <col min="15" max="15" width="6.7109375" style="207" customWidth="1"/>
    <col min="16" max="16" width="9.421875" style="207" customWidth="1"/>
    <col min="17" max="16384" width="9.140625" style="207" customWidth="1"/>
  </cols>
  <sheetData>
    <row r="1" ht="13.5" thickBot="1"/>
    <row r="2" spans="14:15" ht="12.75">
      <c r="N2" s="208" t="s">
        <v>47</v>
      </c>
      <c r="O2" s="209">
        <f>Analisi!G14</f>
        <v>73.5</v>
      </c>
    </row>
    <row r="3" spans="14:17" ht="12.75">
      <c r="N3" s="210" t="s">
        <v>45</v>
      </c>
      <c r="O3" s="211">
        <f>Analisi!L15</f>
        <v>6.35</v>
      </c>
      <c r="P3" s="212"/>
      <c r="Q3" s="212"/>
    </row>
    <row r="4" spans="14:17" ht="12.75">
      <c r="N4" s="210" t="s">
        <v>46</v>
      </c>
      <c r="O4" s="211">
        <f>Analisi!L14</f>
        <v>111</v>
      </c>
      <c r="P4" s="212"/>
      <c r="Q4" s="212"/>
    </row>
    <row r="5" spans="14:17" ht="12.75">
      <c r="N5" s="210"/>
      <c r="O5" s="211"/>
      <c r="P5" s="212"/>
      <c r="Q5" s="212"/>
    </row>
    <row r="6" spans="14:15" ht="12.75">
      <c r="N6" s="210" t="s">
        <v>38</v>
      </c>
      <c r="O6" s="232">
        <f>Analisi!L25</f>
        <v>271.9449803025001</v>
      </c>
    </row>
    <row r="7" spans="14:15" ht="12.75">
      <c r="N7" s="210" t="s">
        <v>44</v>
      </c>
      <c r="O7" s="213">
        <f>Database_Tabelle!C27</f>
        <v>3.4768335086093773</v>
      </c>
    </row>
    <row r="8" spans="14:15" ht="13.5" thickBot="1">
      <c r="N8" s="214" t="s">
        <v>33</v>
      </c>
      <c r="O8" s="215">
        <f>Analisi!$M$29</f>
        <v>87.44890011951955</v>
      </c>
    </row>
    <row r="10" spans="16:17" ht="12.75">
      <c r="P10" s="212"/>
      <c r="Q10" s="212"/>
    </row>
    <row r="11" ht="12.75">
      <c r="Q11" s="212"/>
    </row>
    <row r="12" ht="12.75">
      <c r="Q12" s="212"/>
    </row>
    <row r="13" spans="14:16" ht="12.75">
      <c r="N13" s="266" t="s">
        <v>50</v>
      </c>
      <c r="O13" s="266"/>
      <c r="P13" s="266"/>
    </row>
    <row r="14" spans="14:16" ht="12.75">
      <c r="N14" s="267" t="s">
        <v>53</v>
      </c>
      <c r="O14" s="267"/>
      <c r="P14" s="267"/>
    </row>
    <row r="15" spans="14:16" ht="12.75">
      <c r="N15" s="216" t="s">
        <v>51</v>
      </c>
      <c r="O15" s="272" t="s">
        <v>52</v>
      </c>
      <c r="P15" s="273"/>
    </row>
    <row r="16" spans="14:17" ht="12.75">
      <c r="N16" s="237">
        <v>0.28</v>
      </c>
      <c r="O16" s="270">
        <v>4</v>
      </c>
      <c r="P16" s="271"/>
      <c r="Q16" s="238" t="s">
        <v>68</v>
      </c>
    </row>
    <row r="17" spans="14:17" ht="12.75">
      <c r="N17" s="237">
        <v>0.285</v>
      </c>
      <c r="O17" s="270">
        <v>4</v>
      </c>
      <c r="P17" s="271"/>
      <c r="Q17" s="238" t="s">
        <v>68</v>
      </c>
    </row>
    <row r="18" spans="14:17" ht="12.75">
      <c r="N18" s="237"/>
      <c r="O18" s="270"/>
      <c r="P18" s="271"/>
      <c r="Q18" s="238"/>
    </row>
    <row r="19" spans="14:17" ht="12.75">
      <c r="N19" s="237">
        <v>0.259</v>
      </c>
      <c r="O19" s="270">
        <v>4</v>
      </c>
      <c r="P19" s="271"/>
      <c r="Q19" s="238"/>
    </row>
    <row r="20" spans="14:17" ht="12.75">
      <c r="N20" s="237">
        <v>0.265</v>
      </c>
      <c r="O20" s="270">
        <v>4</v>
      </c>
      <c r="P20" s="271"/>
      <c r="Q20" s="238"/>
    </row>
    <row r="21" spans="14:17" ht="12.75">
      <c r="N21" s="237">
        <v>0.253</v>
      </c>
      <c r="O21" s="270">
        <v>4</v>
      </c>
      <c r="P21" s="271"/>
      <c r="Q21" s="238"/>
    </row>
    <row r="22" spans="14:17" ht="12.75">
      <c r="N22" s="237"/>
      <c r="O22" s="270"/>
      <c r="P22" s="271"/>
      <c r="Q22" s="238"/>
    </row>
    <row r="23" spans="14:17" ht="12.75">
      <c r="N23" s="237">
        <v>0.165</v>
      </c>
      <c r="O23" s="270">
        <v>3</v>
      </c>
      <c r="P23" s="271"/>
      <c r="Q23" s="238"/>
    </row>
    <row r="24" spans="14:17" ht="12.75">
      <c r="N24" s="237">
        <v>0.167</v>
      </c>
      <c r="O24" s="270">
        <v>3</v>
      </c>
      <c r="P24" s="271"/>
      <c r="Q24" s="238"/>
    </row>
    <row r="25" spans="14:17" ht="12.75">
      <c r="N25" s="123"/>
      <c r="O25" s="268"/>
      <c r="P25" s="269"/>
      <c r="Q25" s="238"/>
    </row>
    <row r="26" spans="14:17" ht="12.75">
      <c r="N26" s="123"/>
      <c r="O26" s="268"/>
      <c r="P26" s="269"/>
      <c r="Q26" s="238"/>
    </row>
    <row r="27" spans="14:17" ht="12.75">
      <c r="N27" s="123"/>
      <c r="O27" s="268"/>
      <c r="P27" s="269"/>
      <c r="Q27" s="238"/>
    </row>
    <row r="28" spans="14:17" ht="12.75">
      <c r="N28" s="123"/>
      <c r="O28" s="268"/>
      <c r="P28" s="269"/>
      <c r="Q28" s="238"/>
    </row>
    <row r="29" spans="14:17" ht="12.75">
      <c r="N29" s="123"/>
      <c r="O29" s="268"/>
      <c r="P29" s="269"/>
      <c r="Q29" s="238"/>
    </row>
    <row r="30" spans="14:17" ht="12.75">
      <c r="N30" s="123"/>
      <c r="O30" s="268"/>
      <c r="P30" s="269"/>
      <c r="Q30" s="238"/>
    </row>
  </sheetData>
  <sheetProtection sheet="1" objects="1" scenarios="1"/>
  <mergeCells count="18">
    <mergeCell ref="O30:P30"/>
    <mergeCell ref="O15:P15"/>
    <mergeCell ref="O24:P24"/>
    <mergeCell ref="O25:P25"/>
    <mergeCell ref="O26:P26"/>
    <mergeCell ref="O27:P27"/>
    <mergeCell ref="O20:P20"/>
    <mergeCell ref="O21:P21"/>
    <mergeCell ref="O22:P22"/>
    <mergeCell ref="O23:P23"/>
    <mergeCell ref="N13:P13"/>
    <mergeCell ref="N14:P14"/>
    <mergeCell ref="O28:P28"/>
    <mergeCell ref="O29:P29"/>
    <mergeCell ref="O16:P16"/>
    <mergeCell ref="O17:P17"/>
    <mergeCell ref="O18:P18"/>
    <mergeCell ref="O19:P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CV91"/>
  <sheetViews>
    <sheetView workbookViewId="0" topLeftCell="A1">
      <selection activeCell="M12" sqref="M12"/>
    </sheetView>
  </sheetViews>
  <sheetFormatPr defaultColWidth="9.140625" defaultRowHeight="12.75"/>
  <cols>
    <col min="1" max="1" width="5.28125" style="0" customWidth="1"/>
    <col min="2" max="2" width="24.57421875" style="0" customWidth="1"/>
    <col min="3" max="3" width="7.28125" style="0" bestFit="1" customWidth="1"/>
    <col min="4" max="4" width="6.7109375" style="0" customWidth="1"/>
    <col min="5" max="5" width="7.28125" style="0" bestFit="1" customWidth="1"/>
    <col min="6" max="11" width="7.140625" style="0" customWidth="1"/>
    <col min="12" max="13" width="7.28125" style="0" bestFit="1" customWidth="1"/>
    <col min="14" max="14" width="7.421875" style="0" bestFit="1" customWidth="1"/>
    <col min="15" max="15" width="7.28125" style="0" bestFit="1" customWidth="1"/>
    <col min="16" max="16" width="7.00390625" style="0" bestFit="1" customWidth="1"/>
    <col min="17" max="17" width="7.28125" style="0" bestFit="1" customWidth="1"/>
    <col min="18" max="19" width="7.00390625" style="0" bestFit="1" customWidth="1"/>
    <col min="20" max="22" width="7.57421875" style="0" bestFit="1" customWidth="1"/>
    <col min="23" max="24" width="5.57421875" style="0" bestFit="1" customWidth="1"/>
    <col min="25" max="25" width="7.140625" style="0" bestFit="1" customWidth="1"/>
    <col min="26" max="32" width="5.8515625" style="0" bestFit="1" customWidth="1"/>
    <col min="33" max="35" width="6.421875" style="0" bestFit="1" customWidth="1"/>
    <col min="36" max="71" width="3.57421875" style="0" bestFit="1" customWidth="1"/>
    <col min="72" max="16384" width="8.7109375" style="0" customWidth="1"/>
  </cols>
  <sheetData>
    <row r="1" s="86" customFormat="1" ht="13.5" thickBot="1"/>
    <row r="2" spans="2:43" s="86" customFormat="1" ht="12.75">
      <c r="B2" s="87" t="s">
        <v>39</v>
      </c>
      <c r="C2" s="88">
        <f>Analisi!M29</f>
        <v>87.44890011951955</v>
      </c>
      <c r="D2" s="89">
        <f aca="true" t="shared" si="0" ref="D2:AI9">C2</f>
        <v>87.44890011951955</v>
      </c>
      <c r="E2" s="89">
        <f t="shared" si="0"/>
        <v>87.44890011951955</v>
      </c>
      <c r="F2" s="89">
        <f>E2</f>
        <v>87.44890011951955</v>
      </c>
      <c r="G2" s="89">
        <f t="shared" si="0"/>
        <v>87.44890011951955</v>
      </c>
      <c r="H2" s="89">
        <f>G2</f>
        <v>87.44890011951955</v>
      </c>
      <c r="I2" s="89">
        <f>H2</f>
        <v>87.44890011951955</v>
      </c>
      <c r="J2" s="89"/>
      <c r="K2" s="89"/>
      <c r="L2" s="89">
        <f>E2</f>
        <v>87.44890011951955</v>
      </c>
      <c r="M2" s="89">
        <f t="shared" si="0"/>
        <v>87.44890011951955</v>
      </c>
      <c r="N2" s="89">
        <f t="shared" si="0"/>
        <v>87.44890011951955</v>
      </c>
      <c r="O2" s="89">
        <f t="shared" si="0"/>
        <v>87.44890011951955</v>
      </c>
      <c r="P2" s="89">
        <f t="shared" si="0"/>
        <v>87.44890011951955</v>
      </c>
      <c r="Q2" s="89">
        <f t="shared" si="0"/>
        <v>87.44890011951955</v>
      </c>
      <c r="R2" s="89">
        <f t="shared" si="0"/>
        <v>87.44890011951955</v>
      </c>
      <c r="S2" s="89">
        <f t="shared" si="0"/>
        <v>87.44890011951955</v>
      </c>
      <c r="T2" s="89">
        <f t="shared" si="0"/>
        <v>87.44890011951955</v>
      </c>
      <c r="U2" s="89">
        <f t="shared" si="0"/>
        <v>87.44890011951955</v>
      </c>
      <c r="V2" s="89">
        <f t="shared" si="0"/>
        <v>87.44890011951955</v>
      </c>
      <c r="W2" s="89">
        <f t="shared" si="0"/>
        <v>87.44890011951955</v>
      </c>
      <c r="X2" s="89">
        <f t="shared" si="0"/>
        <v>87.44890011951955</v>
      </c>
      <c r="Y2" s="89">
        <f t="shared" si="0"/>
        <v>87.44890011951955</v>
      </c>
      <c r="Z2" s="89">
        <f t="shared" si="0"/>
        <v>87.44890011951955</v>
      </c>
      <c r="AA2" s="89">
        <f t="shared" si="0"/>
        <v>87.44890011951955</v>
      </c>
      <c r="AB2" s="89">
        <f t="shared" si="0"/>
        <v>87.44890011951955</v>
      </c>
      <c r="AC2" s="89">
        <f t="shared" si="0"/>
        <v>87.44890011951955</v>
      </c>
      <c r="AD2" s="89">
        <f t="shared" si="0"/>
        <v>87.44890011951955</v>
      </c>
      <c r="AE2" s="89">
        <f t="shared" si="0"/>
        <v>87.44890011951955</v>
      </c>
      <c r="AF2" s="89">
        <f t="shared" si="0"/>
        <v>87.44890011951955</v>
      </c>
      <c r="AG2" s="89">
        <f t="shared" si="0"/>
        <v>87.44890011951955</v>
      </c>
      <c r="AH2" s="89">
        <f t="shared" si="0"/>
        <v>87.44890011951955</v>
      </c>
      <c r="AI2" s="89">
        <f t="shared" si="0"/>
        <v>87.44890011951955</v>
      </c>
      <c r="AJ2" s="90"/>
      <c r="AK2" s="90"/>
      <c r="AL2" s="90"/>
      <c r="AM2" s="90"/>
      <c r="AN2" s="90"/>
      <c r="AO2" s="90"/>
      <c r="AP2" s="90"/>
      <c r="AQ2" s="90"/>
    </row>
    <row r="3" spans="2:43" s="86" customFormat="1" ht="12.75">
      <c r="B3" s="91" t="s">
        <v>42</v>
      </c>
      <c r="C3" s="92">
        <f>Grafici!O7</f>
        <v>3.4768335086093773</v>
      </c>
      <c r="D3" s="93">
        <f t="shared" si="0"/>
        <v>3.4768335086093773</v>
      </c>
      <c r="E3" s="93">
        <f t="shared" si="0"/>
        <v>3.4768335086093773</v>
      </c>
      <c r="F3" s="93">
        <f>E3</f>
        <v>3.4768335086093773</v>
      </c>
      <c r="G3" s="93">
        <f t="shared" si="0"/>
        <v>3.4768335086093773</v>
      </c>
      <c r="H3" s="93">
        <f>G3</f>
        <v>3.4768335086093773</v>
      </c>
      <c r="I3" s="93">
        <f>H3</f>
        <v>3.4768335086093773</v>
      </c>
      <c r="J3" s="93"/>
      <c r="K3" s="93"/>
      <c r="L3" s="93">
        <f>E3</f>
        <v>3.4768335086093773</v>
      </c>
      <c r="M3" s="93">
        <f t="shared" si="0"/>
        <v>3.4768335086093773</v>
      </c>
      <c r="N3" s="93">
        <f t="shared" si="0"/>
        <v>3.4768335086093773</v>
      </c>
      <c r="O3" s="93">
        <f t="shared" si="0"/>
        <v>3.4768335086093773</v>
      </c>
      <c r="P3" s="93">
        <f t="shared" si="0"/>
        <v>3.4768335086093773</v>
      </c>
      <c r="Q3" s="93">
        <f t="shared" si="0"/>
        <v>3.4768335086093773</v>
      </c>
      <c r="R3" s="93">
        <f t="shared" si="0"/>
        <v>3.4768335086093773</v>
      </c>
      <c r="S3" s="93">
        <f t="shared" si="0"/>
        <v>3.4768335086093773</v>
      </c>
      <c r="T3" s="93">
        <f t="shared" si="0"/>
        <v>3.4768335086093773</v>
      </c>
      <c r="U3" s="93">
        <f t="shared" si="0"/>
        <v>3.4768335086093773</v>
      </c>
      <c r="V3" s="93">
        <f t="shared" si="0"/>
        <v>3.4768335086093773</v>
      </c>
      <c r="W3" s="93">
        <f t="shared" si="0"/>
        <v>3.4768335086093773</v>
      </c>
      <c r="X3" s="93">
        <f t="shared" si="0"/>
        <v>3.4768335086093773</v>
      </c>
      <c r="Y3" s="93">
        <f t="shared" si="0"/>
        <v>3.4768335086093773</v>
      </c>
      <c r="Z3" s="93">
        <f t="shared" si="0"/>
        <v>3.4768335086093773</v>
      </c>
      <c r="AA3" s="93">
        <f t="shared" si="0"/>
        <v>3.4768335086093773</v>
      </c>
      <c r="AB3" s="93">
        <f t="shared" si="0"/>
        <v>3.4768335086093773</v>
      </c>
      <c r="AC3" s="93">
        <f t="shared" si="0"/>
        <v>3.4768335086093773</v>
      </c>
      <c r="AD3" s="93">
        <f t="shared" si="0"/>
        <v>3.4768335086093773</v>
      </c>
      <c r="AE3" s="93">
        <f t="shared" si="0"/>
        <v>3.4768335086093773</v>
      </c>
      <c r="AF3" s="93">
        <f t="shared" si="0"/>
        <v>3.4768335086093773</v>
      </c>
      <c r="AG3" s="93">
        <f t="shared" si="0"/>
        <v>3.4768335086093773</v>
      </c>
      <c r="AH3" s="93">
        <f t="shared" si="0"/>
        <v>3.4768335086093773</v>
      </c>
      <c r="AI3" s="93">
        <f t="shared" si="0"/>
        <v>3.4768335086093773</v>
      </c>
      <c r="AJ3" s="90"/>
      <c r="AK3" s="90"/>
      <c r="AL3" s="90"/>
      <c r="AM3" s="90"/>
      <c r="AN3" s="90"/>
      <c r="AO3" s="90"/>
      <c r="AP3" s="90"/>
      <c r="AQ3" s="90"/>
    </row>
    <row r="4" spans="2:43" s="86" customFormat="1" ht="12.75">
      <c r="B4" s="91" t="s">
        <v>34</v>
      </c>
      <c r="C4" s="92">
        <v>1</v>
      </c>
      <c r="D4" s="93">
        <f t="shared" si="0"/>
        <v>1</v>
      </c>
      <c r="E4" s="93">
        <f t="shared" si="0"/>
        <v>1</v>
      </c>
      <c r="F4" s="93">
        <f>E4</f>
        <v>1</v>
      </c>
      <c r="G4" s="93">
        <f t="shared" si="0"/>
        <v>1</v>
      </c>
      <c r="H4" s="93">
        <f>G4</f>
        <v>1</v>
      </c>
      <c r="I4" s="93">
        <f>H4</f>
        <v>1</v>
      </c>
      <c r="J4" s="93"/>
      <c r="K4" s="93"/>
      <c r="L4" s="93">
        <f>E4</f>
        <v>1</v>
      </c>
      <c r="M4" s="93">
        <f t="shared" si="0"/>
        <v>1</v>
      </c>
      <c r="N4" s="93">
        <f t="shared" si="0"/>
        <v>1</v>
      </c>
      <c r="O4" s="93">
        <f t="shared" si="0"/>
        <v>1</v>
      </c>
      <c r="P4" s="93">
        <f t="shared" si="0"/>
        <v>1</v>
      </c>
      <c r="Q4" s="93">
        <f t="shared" si="0"/>
        <v>1</v>
      </c>
      <c r="R4" s="93">
        <f t="shared" si="0"/>
        <v>1</v>
      </c>
      <c r="S4" s="93">
        <f t="shared" si="0"/>
        <v>1</v>
      </c>
      <c r="T4" s="93">
        <f t="shared" si="0"/>
        <v>1</v>
      </c>
      <c r="U4" s="93">
        <f t="shared" si="0"/>
        <v>1</v>
      </c>
      <c r="V4" s="93">
        <f t="shared" si="0"/>
        <v>1</v>
      </c>
      <c r="W4" s="93">
        <f t="shared" si="0"/>
        <v>1</v>
      </c>
      <c r="X4" s="93">
        <f t="shared" si="0"/>
        <v>1</v>
      </c>
      <c r="Y4" s="93">
        <f t="shared" si="0"/>
        <v>1</v>
      </c>
      <c r="Z4" s="93">
        <f t="shared" si="0"/>
        <v>1</v>
      </c>
      <c r="AA4" s="93">
        <f t="shared" si="0"/>
        <v>1</v>
      </c>
      <c r="AB4" s="93">
        <f t="shared" si="0"/>
        <v>1</v>
      </c>
      <c r="AC4" s="93">
        <f t="shared" si="0"/>
        <v>1</v>
      </c>
      <c r="AD4" s="93">
        <f t="shared" si="0"/>
        <v>1</v>
      </c>
      <c r="AE4" s="93">
        <f t="shared" si="0"/>
        <v>1</v>
      </c>
      <c r="AF4" s="93">
        <f t="shared" si="0"/>
        <v>1</v>
      </c>
      <c r="AG4" s="93">
        <f t="shared" si="0"/>
        <v>1</v>
      </c>
      <c r="AH4" s="93">
        <f t="shared" si="0"/>
        <v>1</v>
      </c>
      <c r="AI4" s="93">
        <f t="shared" si="0"/>
        <v>1</v>
      </c>
      <c r="AJ4" s="90"/>
      <c r="AK4" s="90"/>
      <c r="AL4" s="90"/>
      <c r="AM4" s="90"/>
      <c r="AN4" s="90"/>
      <c r="AO4" s="90"/>
      <c r="AP4" s="90"/>
      <c r="AQ4" s="90"/>
    </row>
    <row r="5" spans="2:67" s="86" customFormat="1" ht="13.5" thickBot="1">
      <c r="B5" s="94" t="s">
        <v>38</v>
      </c>
      <c r="C5" s="95">
        <f>Analisi!M24</f>
        <v>281.08008300000006</v>
      </c>
      <c r="D5" s="96">
        <f t="shared" si="0"/>
        <v>281.08008300000006</v>
      </c>
      <c r="E5" s="97">
        <f>C5</f>
        <v>281.08008300000006</v>
      </c>
      <c r="F5" s="96">
        <f>E5</f>
        <v>281.08008300000006</v>
      </c>
      <c r="G5" s="97">
        <f>E5</f>
        <v>281.08008300000006</v>
      </c>
      <c r="H5" s="96">
        <f>G5</f>
        <v>281.08008300000006</v>
      </c>
      <c r="I5" s="96">
        <f>H5</f>
        <v>281.08008300000006</v>
      </c>
      <c r="J5" s="96"/>
      <c r="K5" s="96"/>
      <c r="L5" s="97">
        <f>G5</f>
        <v>281.08008300000006</v>
      </c>
      <c r="M5" s="96">
        <f>L5</f>
        <v>281.08008300000006</v>
      </c>
      <c r="N5" s="97">
        <f>L5</f>
        <v>281.08008300000006</v>
      </c>
      <c r="O5" s="96">
        <f>N5</f>
        <v>281.08008300000006</v>
      </c>
      <c r="P5" s="97">
        <f>N5</f>
        <v>281.08008300000006</v>
      </c>
      <c r="Q5" s="96">
        <f>P5</f>
        <v>281.08008300000006</v>
      </c>
      <c r="R5" s="97">
        <f t="shared" si="0"/>
        <v>281.08008300000006</v>
      </c>
      <c r="S5" s="97">
        <f t="shared" si="0"/>
        <v>281.08008300000006</v>
      </c>
      <c r="T5" s="97">
        <f t="shared" si="0"/>
        <v>281.08008300000006</v>
      </c>
      <c r="U5" s="97">
        <f t="shared" si="0"/>
        <v>281.08008300000006</v>
      </c>
      <c r="V5" s="97">
        <f t="shared" si="0"/>
        <v>281.08008300000006</v>
      </c>
      <c r="W5" s="97">
        <f t="shared" si="0"/>
        <v>281.08008300000006</v>
      </c>
      <c r="X5" s="97">
        <f t="shared" si="0"/>
        <v>281.08008300000006</v>
      </c>
      <c r="Y5" s="97">
        <f t="shared" si="0"/>
        <v>281.08008300000006</v>
      </c>
      <c r="Z5" s="97">
        <f t="shared" si="0"/>
        <v>281.08008300000006</v>
      </c>
      <c r="AA5" s="97">
        <f t="shared" si="0"/>
        <v>281.08008300000006</v>
      </c>
      <c r="AB5" s="97">
        <f t="shared" si="0"/>
        <v>281.08008300000006</v>
      </c>
      <c r="AC5" s="97">
        <f t="shared" si="0"/>
        <v>281.08008300000006</v>
      </c>
      <c r="AD5" s="97">
        <f t="shared" si="0"/>
        <v>281.08008300000006</v>
      </c>
      <c r="AE5" s="97">
        <f t="shared" si="0"/>
        <v>281.08008300000006</v>
      </c>
      <c r="AF5" s="97">
        <f t="shared" si="0"/>
        <v>281.08008300000006</v>
      </c>
      <c r="AG5" s="97">
        <f t="shared" si="0"/>
        <v>281.08008300000006</v>
      </c>
      <c r="AH5" s="97">
        <f t="shared" si="0"/>
        <v>281.08008300000006</v>
      </c>
      <c r="AI5" s="97">
        <f t="shared" si="0"/>
        <v>281.08008300000006</v>
      </c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</row>
    <row r="6" spans="2:31" s="86" customFormat="1" ht="12.75">
      <c r="B6" s="87" t="s">
        <v>39</v>
      </c>
      <c r="C6" s="88">
        <f>C2</f>
        <v>87.44890011951955</v>
      </c>
      <c r="D6" s="98">
        <f t="shared" si="0"/>
        <v>87.44890011951955</v>
      </c>
      <c r="E6" s="98">
        <f t="shared" si="0"/>
        <v>87.44890011951955</v>
      </c>
      <c r="F6" s="98"/>
      <c r="G6" s="98"/>
      <c r="H6" s="98"/>
      <c r="I6" s="98"/>
      <c r="J6" s="98"/>
      <c r="K6" s="98"/>
      <c r="L6" s="98">
        <f>E6</f>
        <v>87.44890011951955</v>
      </c>
      <c r="M6" s="98">
        <f t="shared" si="0"/>
        <v>87.44890011951955</v>
      </c>
      <c r="N6" s="98">
        <f t="shared" si="0"/>
        <v>87.44890011951955</v>
      </c>
      <c r="O6" s="98">
        <f t="shared" si="0"/>
        <v>87.44890011951955</v>
      </c>
      <c r="P6" s="98">
        <f t="shared" si="0"/>
        <v>87.44890011951955</v>
      </c>
      <c r="Q6" s="98">
        <f t="shared" si="0"/>
        <v>87.44890011951955</v>
      </c>
      <c r="R6" s="98">
        <f t="shared" si="0"/>
        <v>87.44890011951955</v>
      </c>
      <c r="S6" s="98">
        <f t="shared" si="0"/>
        <v>87.44890011951955</v>
      </c>
      <c r="T6" s="98">
        <f t="shared" si="0"/>
        <v>87.44890011951955</v>
      </c>
      <c r="U6" s="98">
        <f t="shared" si="0"/>
        <v>87.44890011951955</v>
      </c>
      <c r="V6" s="98">
        <f t="shared" si="0"/>
        <v>87.44890011951955</v>
      </c>
      <c r="W6" s="98">
        <f t="shared" si="0"/>
        <v>87.44890011951955</v>
      </c>
      <c r="X6" s="98">
        <f t="shared" si="0"/>
        <v>87.44890011951955</v>
      </c>
      <c r="Y6" s="98">
        <f t="shared" si="0"/>
        <v>87.44890011951955</v>
      </c>
      <c r="Z6" s="98">
        <f t="shared" si="0"/>
        <v>87.44890011951955</v>
      </c>
      <c r="AA6" s="98">
        <f t="shared" si="0"/>
        <v>87.44890011951955</v>
      </c>
      <c r="AB6" s="98">
        <f t="shared" si="0"/>
        <v>87.44890011951955</v>
      </c>
      <c r="AC6" s="98">
        <f t="shared" si="0"/>
        <v>87.44890011951955</v>
      </c>
      <c r="AD6" s="98">
        <f t="shared" si="0"/>
        <v>87.44890011951955</v>
      </c>
      <c r="AE6" s="98">
        <f t="shared" si="0"/>
        <v>87.44890011951955</v>
      </c>
    </row>
    <row r="7" spans="2:31" s="86" customFormat="1" ht="12.75">
      <c r="B7" s="91" t="s">
        <v>43</v>
      </c>
      <c r="C7" s="92">
        <f>C3</f>
        <v>3.4768335086093773</v>
      </c>
      <c r="D7" s="99">
        <f t="shared" si="0"/>
        <v>3.4768335086093773</v>
      </c>
      <c r="E7" s="99">
        <f t="shared" si="0"/>
        <v>3.4768335086093773</v>
      </c>
      <c r="F7" s="99"/>
      <c r="G7" s="99"/>
      <c r="H7" s="99"/>
      <c r="I7" s="99"/>
      <c r="J7" s="99"/>
      <c r="K7" s="99"/>
      <c r="L7" s="99">
        <f>E7</f>
        <v>3.4768335086093773</v>
      </c>
      <c r="M7" s="99">
        <f t="shared" si="0"/>
        <v>3.4768335086093773</v>
      </c>
      <c r="N7" s="99">
        <f t="shared" si="0"/>
        <v>3.4768335086093773</v>
      </c>
      <c r="O7" s="99">
        <f t="shared" si="0"/>
        <v>3.4768335086093773</v>
      </c>
      <c r="P7" s="99">
        <f t="shared" si="0"/>
        <v>3.4768335086093773</v>
      </c>
      <c r="Q7" s="99">
        <f t="shared" si="0"/>
        <v>3.4768335086093773</v>
      </c>
      <c r="R7" s="99">
        <f t="shared" si="0"/>
        <v>3.4768335086093773</v>
      </c>
      <c r="S7" s="99">
        <f t="shared" si="0"/>
        <v>3.4768335086093773</v>
      </c>
      <c r="T7" s="99">
        <f t="shared" si="0"/>
        <v>3.4768335086093773</v>
      </c>
      <c r="U7" s="99">
        <f t="shared" si="0"/>
        <v>3.4768335086093773</v>
      </c>
      <c r="V7" s="99">
        <f t="shared" si="0"/>
        <v>3.4768335086093773</v>
      </c>
      <c r="W7" s="99">
        <f t="shared" si="0"/>
        <v>3.4768335086093773</v>
      </c>
      <c r="X7" s="99">
        <f t="shared" si="0"/>
        <v>3.4768335086093773</v>
      </c>
      <c r="Y7" s="99">
        <f t="shared" si="0"/>
        <v>3.4768335086093773</v>
      </c>
      <c r="Z7" s="99">
        <f t="shared" si="0"/>
        <v>3.4768335086093773</v>
      </c>
      <c r="AA7" s="99">
        <f t="shared" si="0"/>
        <v>3.4768335086093773</v>
      </c>
      <c r="AB7" s="99">
        <f t="shared" si="0"/>
        <v>3.4768335086093773</v>
      </c>
      <c r="AC7" s="99">
        <f t="shared" si="0"/>
        <v>3.4768335086093773</v>
      </c>
      <c r="AD7" s="99">
        <f t="shared" si="0"/>
        <v>3.4768335086093773</v>
      </c>
      <c r="AE7" s="99">
        <f t="shared" si="0"/>
        <v>3.4768335086093773</v>
      </c>
    </row>
    <row r="8" spans="2:31" s="86" customFormat="1" ht="12.75">
      <c r="B8" s="91" t="s">
        <v>34</v>
      </c>
      <c r="C8" s="92">
        <f>C4</f>
        <v>1</v>
      </c>
      <c r="D8" s="99">
        <f t="shared" si="0"/>
        <v>1</v>
      </c>
      <c r="E8" s="99">
        <f t="shared" si="0"/>
        <v>1</v>
      </c>
      <c r="F8" s="99"/>
      <c r="G8" s="99"/>
      <c r="H8" s="99"/>
      <c r="I8" s="99"/>
      <c r="J8" s="99"/>
      <c r="K8" s="99"/>
      <c r="L8" s="99">
        <f>E8</f>
        <v>1</v>
      </c>
      <c r="M8" s="99">
        <f t="shared" si="0"/>
        <v>1</v>
      </c>
      <c r="N8" s="99">
        <f t="shared" si="0"/>
        <v>1</v>
      </c>
      <c r="O8" s="99">
        <f t="shared" si="0"/>
        <v>1</v>
      </c>
      <c r="P8" s="99">
        <f t="shared" si="0"/>
        <v>1</v>
      </c>
      <c r="Q8" s="99">
        <f t="shared" si="0"/>
        <v>1</v>
      </c>
      <c r="R8" s="99">
        <f t="shared" si="0"/>
        <v>1</v>
      </c>
      <c r="S8" s="99">
        <f t="shared" si="0"/>
        <v>1</v>
      </c>
      <c r="T8" s="99">
        <f t="shared" si="0"/>
        <v>1</v>
      </c>
      <c r="U8" s="99">
        <f t="shared" si="0"/>
        <v>1</v>
      </c>
      <c r="V8" s="99">
        <f t="shared" si="0"/>
        <v>1</v>
      </c>
      <c r="W8" s="99">
        <f t="shared" si="0"/>
        <v>1</v>
      </c>
      <c r="X8" s="99">
        <f t="shared" si="0"/>
        <v>1</v>
      </c>
      <c r="Y8" s="99">
        <f t="shared" si="0"/>
        <v>1</v>
      </c>
      <c r="Z8" s="99">
        <f t="shared" si="0"/>
        <v>1</v>
      </c>
      <c r="AA8" s="99">
        <f t="shared" si="0"/>
        <v>1</v>
      </c>
      <c r="AB8" s="99">
        <f t="shared" si="0"/>
        <v>1</v>
      </c>
      <c r="AC8" s="99">
        <f t="shared" si="0"/>
        <v>1</v>
      </c>
      <c r="AD8" s="99">
        <f t="shared" si="0"/>
        <v>1</v>
      </c>
      <c r="AE8" s="99">
        <f t="shared" si="0"/>
        <v>1</v>
      </c>
    </row>
    <row r="9" spans="2:35" s="86" customFormat="1" ht="13.5" thickBot="1">
      <c r="B9" s="94" t="s">
        <v>38</v>
      </c>
      <c r="C9" s="95">
        <f>C5</f>
        <v>281.08008300000006</v>
      </c>
      <c r="D9" s="97">
        <f t="shared" si="0"/>
        <v>281.08008300000006</v>
      </c>
      <c r="E9" s="97">
        <f t="shared" si="0"/>
        <v>281.08008300000006</v>
      </c>
      <c r="F9" s="97"/>
      <c r="G9" s="97"/>
      <c r="H9" s="97"/>
      <c r="I9" s="97"/>
      <c r="J9" s="97"/>
      <c r="K9" s="97"/>
      <c r="L9" s="97">
        <f>E9</f>
        <v>281.08008300000006</v>
      </c>
      <c r="M9" s="97">
        <f t="shared" si="0"/>
        <v>281.08008300000006</v>
      </c>
      <c r="N9" s="97">
        <f t="shared" si="0"/>
        <v>281.08008300000006</v>
      </c>
      <c r="O9" s="97">
        <f t="shared" si="0"/>
        <v>281.08008300000006</v>
      </c>
      <c r="P9" s="97">
        <f t="shared" si="0"/>
        <v>281.08008300000006</v>
      </c>
      <c r="Q9" s="97">
        <f t="shared" si="0"/>
        <v>281.08008300000006</v>
      </c>
      <c r="R9" s="97">
        <f t="shared" si="0"/>
        <v>281.08008300000006</v>
      </c>
      <c r="S9" s="97">
        <f t="shared" si="0"/>
        <v>281.08008300000006</v>
      </c>
      <c r="T9" s="97">
        <f t="shared" si="0"/>
        <v>281.08008300000006</v>
      </c>
      <c r="U9" s="97">
        <f t="shared" si="0"/>
        <v>281.08008300000006</v>
      </c>
      <c r="V9" s="97">
        <f t="shared" si="0"/>
        <v>281.08008300000006</v>
      </c>
      <c r="W9" s="97">
        <f t="shared" si="0"/>
        <v>281.08008300000006</v>
      </c>
      <c r="X9" s="97">
        <f t="shared" si="0"/>
        <v>281.08008300000006</v>
      </c>
      <c r="Y9" s="97">
        <f t="shared" si="0"/>
        <v>281.08008300000006</v>
      </c>
      <c r="Z9" s="97">
        <f t="shared" si="0"/>
        <v>281.08008300000006</v>
      </c>
      <c r="AA9" s="97">
        <f t="shared" si="0"/>
        <v>281.08008300000006</v>
      </c>
      <c r="AB9" s="97">
        <f t="shared" si="0"/>
        <v>281.08008300000006</v>
      </c>
      <c r="AC9" s="97">
        <f t="shared" si="0"/>
        <v>281.08008300000006</v>
      </c>
      <c r="AD9" s="97">
        <f t="shared" si="0"/>
        <v>281.08008300000006</v>
      </c>
      <c r="AE9" s="97">
        <f t="shared" si="0"/>
        <v>281.08008300000006</v>
      </c>
      <c r="AI9" s="100"/>
    </row>
    <row r="10" spans="2:17" s="86" customFormat="1" ht="13.5" thickBot="1">
      <c r="B10" s="101"/>
      <c r="M10" s="102" t="s">
        <v>42</v>
      </c>
      <c r="Q10" s="102" t="s">
        <v>43</v>
      </c>
    </row>
    <row r="11" spans="2:100" s="106" customFormat="1" ht="13.5" thickBot="1">
      <c r="B11" s="103" t="s">
        <v>36</v>
      </c>
      <c r="C11" s="104">
        <f>L28</f>
        <v>0</v>
      </c>
      <c r="D11" s="104">
        <f aca="true" t="shared" si="1" ref="D11:L11">M28</f>
        <v>0.0735</v>
      </c>
      <c r="E11" s="104">
        <f t="shared" si="1"/>
        <v>0.147</v>
      </c>
      <c r="F11" s="104">
        <f t="shared" si="1"/>
        <v>0.22049999999999997</v>
      </c>
      <c r="G11" s="104">
        <f t="shared" si="1"/>
        <v>0.294</v>
      </c>
      <c r="H11" s="104">
        <f t="shared" si="1"/>
        <v>0.3675</v>
      </c>
      <c r="I11" s="104">
        <f t="shared" si="1"/>
        <v>0.44099999999999995</v>
      </c>
      <c r="J11" s="104">
        <f t="shared" si="1"/>
        <v>0.5145</v>
      </c>
      <c r="K11" s="104">
        <f t="shared" si="1"/>
        <v>0.588</v>
      </c>
      <c r="L11" s="104">
        <f t="shared" si="1"/>
        <v>0.6614999999999999</v>
      </c>
      <c r="M11" s="104">
        <f>Analisi!G14/100</f>
        <v>0.735</v>
      </c>
      <c r="N11" s="105">
        <f>M11+0.25</f>
        <v>0.985</v>
      </c>
      <c r="O11" s="105">
        <f>N11+0.25</f>
        <v>1.2349999999999999</v>
      </c>
      <c r="P11" s="105">
        <f aca="true" t="shared" si="2" ref="P11:AI11">O11+0.25</f>
        <v>1.4849999999999999</v>
      </c>
      <c r="Q11" s="105">
        <f t="shared" si="2"/>
        <v>1.7349999999999999</v>
      </c>
      <c r="R11" s="105">
        <f t="shared" si="2"/>
        <v>1.9849999999999999</v>
      </c>
      <c r="S11" s="105">
        <f t="shared" si="2"/>
        <v>2.235</v>
      </c>
      <c r="T11" s="105">
        <f t="shared" si="2"/>
        <v>2.485</v>
      </c>
      <c r="U11" s="105">
        <f t="shared" si="2"/>
        <v>2.735</v>
      </c>
      <c r="V11" s="105">
        <f t="shared" si="2"/>
        <v>2.985</v>
      </c>
      <c r="W11" s="105">
        <f t="shared" si="2"/>
        <v>3.235</v>
      </c>
      <c r="X11" s="105">
        <f t="shared" si="2"/>
        <v>3.485</v>
      </c>
      <c r="Y11" s="105">
        <f t="shared" si="2"/>
        <v>3.735</v>
      </c>
      <c r="Z11" s="105">
        <f t="shared" si="2"/>
        <v>3.985</v>
      </c>
      <c r="AA11" s="105">
        <f t="shared" si="2"/>
        <v>4.234999999999999</v>
      </c>
      <c r="AB11" s="105">
        <f t="shared" si="2"/>
        <v>4.484999999999999</v>
      </c>
      <c r="AC11" s="105">
        <f t="shared" si="2"/>
        <v>4.734999999999999</v>
      </c>
      <c r="AD11" s="105">
        <f t="shared" si="2"/>
        <v>4.984999999999999</v>
      </c>
      <c r="AE11" s="105">
        <f t="shared" si="2"/>
        <v>5.234999999999999</v>
      </c>
      <c r="AF11" s="105">
        <f t="shared" si="2"/>
        <v>5.484999999999999</v>
      </c>
      <c r="AG11" s="105">
        <f t="shared" si="2"/>
        <v>5.734999999999999</v>
      </c>
      <c r="AH11" s="105">
        <f t="shared" si="2"/>
        <v>5.984999999999999</v>
      </c>
      <c r="AI11" s="105">
        <f t="shared" si="2"/>
        <v>6.234999999999999</v>
      </c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</row>
    <row r="12" spans="2:100" s="106" customFormat="1" ht="12.75">
      <c r="B12" s="101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</row>
    <row r="13" spans="2:35" s="86" customFormat="1" ht="13.5" thickBot="1">
      <c r="B13" s="101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</row>
    <row r="14" spans="2:35" s="86" customFormat="1" ht="13.5" thickBot="1">
      <c r="B14" s="109" t="s">
        <v>35</v>
      </c>
      <c r="C14" s="110">
        <v>0</v>
      </c>
      <c r="D14" s="110">
        <f>(0.5*C5/1000)*(D17^2)</f>
        <v>16.615291022708696</v>
      </c>
      <c r="E14" s="110">
        <f>(0.5*C5/1000)*(E17^2)</f>
        <v>31.481604043027037</v>
      </c>
      <c r="F14" s="110">
        <f>(0.5*D5/1000)*(F17^2)</f>
        <v>44.598939060954955</v>
      </c>
      <c r="G14" s="110">
        <f>(0.5*E5/1000)*(G17^2)</f>
        <v>55.96729607649251</v>
      </c>
      <c r="H14" s="110">
        <f>(0.5*F5/1000)*(H17^2)</f>
        <v>65.58667508963968</v>
      </c>
      <c r="I14" s="110">
        <f>(0.5*G5/1000)*(I17^2)</f>
        <v>73.45707610039642</v>
      </c>
      <c r="J14" s="110">
        <f>(0.5*H5/1000)*(J17^2)</f>
        <v>79.57849910876278</v>
      </c>
      <c r="K14" s="110">
        <f>(0.5*I5/1000)*(K17^2)</f>
        <v>83.95094411473879</v>
      </c>
      <c r="L14" s="110">
        <f>(0.5*C5/1000)*(L17^2)</f>
        <v>86.57441111832436</v>
      </c>
      <c r="M14" s="110">
        <f>C2*2.718^-(2*C4*C11/C3)</f>
        <v>87.44890011951955</v>
      </c>
      <c r="N14" s="110">
        <f>C2*2.718^-(2*C4*(N11-M11)/C3)</f>
        <v>75.73652346424565</v>
      </c>
      <c r="O14" s="110">
        <f>D2*2.718^-(2*D4*(O11-M11)/D3)</f>
        <v>65.5928316835387</v>
      </c>
      <c r="P14" s="110">
        <f>E2*2.718^-(2*E4*(P11-M11)/E3)</f>
        <v>56.80772461514109</v>
      </c>
      <c r="Q14" s="110">
        <f>L2*2.718^-(2*L4*(Q11-M11)/L3)</f>
        <v>49.19924164151599</v>
      </c>
      <c r="R14" s="110">
        <f>M2*2.718^-(2*M4*(R11-M11)/M3)</f>
        <v>42.60979284945911</v>
      </c>
      <c r="S14" s="110">
        <f>N2*2.718^-(2*N4*(S11-M11)/N3)</f>
        <v>36.902894965392235</v>
      </c>
      <c r="T14" s="110">
        <f>O2*2.718^-(2*O4*(T11-M11)/O3)</f>
        <v>31.96034445973748</v>
      </c>
      <c r="U14" s="110">
        <f>P2*2.718^-(2*P4*(U11-M11)/P3)</f>
        <v>27.67976926859008</v>
      </c>
      <c r="V14" s="110">
        <f>Q2*2.718^-(2*Q4*(V11-M11)/Q3)</f>
        <v>23.972508422979534</v>
      </c>
      <c r="W14" s="110">
        <f>R2*2.718^-(2*R4*(W11-M11)/R3)</f>
        <v>20.76177566776001</v>
      </c>
      <c r="X14" s="110">
        <f>S2*2.718^-(2*S4*(X11-M11)/S3)</f>
        <v>17.9810690342774</v>
      </c>
      <c r="Y14" s="110">
        <f>T2*2.718^-(2*T4*(Y11-M11)/T3)</f>
        <v>15.572793425251987</v>
      </c>
      <c r="Z14" s="110">
        <f>U2*2.718^-(2*U4*(Z11-M11)/U3)</f>
        <v>13.487067682309085</v>
      </c>
      <c r="AA14" s="110">
        <f>V2*2.718^-(2*V4*(AA11-M11)/V3)</f>
        <v>11.680691427668055</v>
      </c>
      <c r="AB14" s="110">
        <f>W2*2.718^-(2*W4*(AB11-M11)/W3)</f>
        <v>10.116250280805188</v>
      </c>
      <c r="AC14" s="110">
        <f>X2*2.718^-(2*X4*(AC11-M11)/X3)</f>
        <v>8.761340916983889</v>
      </c>
      <c r="AD14" s="110">
        <f>Y2*2.718^-(2*Y4*(AD11-M11)/Y3)</f>
        <v>7.587899916757145</v>
      </c>
      <c r="AE14" s="110">
        <f>Z2*2.718^-(2*Z4*(AE11-M11)/Z3)</f>
        <v>6.57162250530753</v>
      </c>
      <c r="AF14" s="110">
        <f>AA2*2.718^-(2*AA4*(AF11-M11)/AA3)</f>
        <v>5.691459142323665</v>
      </c>
      <c r="AG14" s="110">
        <f>AB2*2.718^-(2*AB4*(AG11-M11)/AB3)</f>
        <v>4.929179535583163</v>
      </c>
      <c r="AH14" s="110">
        <f>AC2*2.718^-(2*AC4*(AH11-M11)/AC3)</f>
        <v>4.2689950479187875</v>
      </c>
      <c r="AI14" s="110">
        <f>AD2*2.718^-(2*AD4*(AI11-M11)/AD3)</f>
        <v>3.6972316767112954</v>
      </c>
    </row>
    <row r="15" spans="2:35" s="86" customFormat="1" ht="12.75">
      <c r="B15" s="101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</row>
    <row r="16" spans="2:35" s="86" customFormat="1" ht="13.5" thickBot="1">
      <c r="B16" s="101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</row>
    <row r="17" spans="2:35" s="86" customFormat="1" ht="13.5" thickBot="1">
      <c r="B17" s="103" t="s">
        <v>37</v>
      </c>
      <c r="C17" s="110">
        <f>L27</f>
        <v>0</v>
      </c>
      <c r="D17" s="110">
        <f aca="true" t="shared" si="3" ref="D17:L17">M27</f>
        <v>10.87311390185812</v>
      </c>
      <c r="E17" s="110">
        <f t="shared" si="3"/>
        <v>14.966780431517938</v>
      </c>
      <c r="F17" s="110">
        <f t="shared" si="3"/>
        <v>17.8140318762335</v>
      </c>
      <c r="G17" s="110">
        <f t="shared" si="3"/>
        <v>19.955707242023916</v>
      </c>
      <c r="H17" s="110">
        <f t="shared" si="3"/>
        <v>21.602686777597263</v>
      </c>
      <c r="I17" s="110">
        <f t="shared" si="3"/>
        <v>22.86213474573826</v>
      </c>
      <c r="J17" s="110">
        <f t="shared" si="3"/>
        <v>23.795664287708316</v>
      </c>
      <c r="K17" s="110">
        <f t="shared" si="3"/>
        <v>24.440650099660786</v>
      </c>
      <c r="L17" s="110">
        <f t="shared" si="3"/>
        <v>24.81959750548924</v>
      </c>
      <c r="M17" s="110">
        <f aca="true" t="shared" si="4" ref="M17:AI17">(M14*2/(L5/1000))^0.5</f>
        <v>24.944634052529896</v>
      </c>
      <c r="N17" s="110">
        <f t="shared" si="4"/>
        <v>23.214142401320977</v>
      </c>
      <c r="O17" s="110">
        <f t="shared" si="4"/>
        <v>21.603700671413673</v>
      </c>
      <c r="P17" s="110">
        <f t="shared" si="4"/>
        <v>20.104980603267144</v>
      </c>
      <c r="Q17" s="110">
        <f t="shared" si="4"/>
        <v>18.71023169621142</v>
      </c>
      <c r="R17" s="110">
        <f t="shared" si="4"/>
        <v>17.412241127406322</v>
      </c>
      <c r="S17" s="110">
        <f t="shared" si="4"/>
        <v>16.20429645135455</v>
      </c>
      <c r="T17" s="110">
        <f t="shared" si="4"/>
        <v>15.080150887072787</v>
      </c>
      <c r="U17" s="110">
        <f t="shared" si="4"/>
        <v>14.033991013406345</v>
      </c>
      <c r="V17" s="110">
        <f t="shared" si="4"/>
        <v>13.060406705426585</v>
      </c>
      <c r="W17" s="110">
        <f t="shared" si="4"/>
        <v>12.154363156439686</v>
      </c>
      <c r="X17" s="110">
        <f t="shared" si="4"/>
        <v>11.311174840921103</v>
      </c>
      <c r="Y17" s="110">
        <f t="shared" si="4"/>
        <v>10.526481283727263</v>
      </c>
      <c r="Z17" s="110">
        <f t="shared" si="4"/>
        <v>9.79622451027704</v>
      </c>
      <c r="AA17" s="110">
        <f t="shared" si="4"/>
        <v>9.116628061088674</v>
      </c>
      <c r="AB17" s="110">
        <f t="shared" si="4"/>
        <v>8.4841774621475</v>
      </c>
      <c r="AC17" s="110">
        <f t="shared" si="4"/>
        <v>7.895602050108851</v>
      </c>
      <c r="AD17" s="110">
        <f t="shared" si="4"/>
        <v>7.347858058346598</v>
      </c>
      <c r="AE17" s="110">
        <f t="shared" si="4"/>
        <v>6.838112876378399</v>
      </c>
      <c r="AF17" s="110">
        <f t="shared" si="4"/>
        <v>6.363730401266608</v>
      </c>
      <c r="AG17" s="110">
        <f t="shared" si="4"/>
        <v>5.9222574052408605</v>
      </c>
      <c r="AH17" s="110">
        <f t="shared" si="4"/>
        <v>5.511410849043733</v>
      </c>
      <c r="AI17" s="110">
        <f t="shared" si="4"/>
        <v>5.1290660753914965</v>
      </c>
    </row>
    <row r="18" spans="2:35" s="86" customFormat="1" ht="12.75">
      <c r="B18" s="101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</row>
    <row r="19" spans="2:35" s="86" customFormat="1" ht="12.75">
      <c r="B19" s="111" t="s">
        <v>40</v>
      </c>
      <c r="C19" s="112">
        <v>0</v>
      </c>
      <c r="D19" s="112">
        <f>(D11-C11)/D17</f>
        <v>0.0067597930697147835</v>
      </c>
      <c r="E19" s="112">
        <f>(E11-D11)/E17</f>
        <v>0.0049108758116888866</v>
      </c>
      <c r="F19" s="112">
        <f>(F11-E11)/F17</f>
        <v>0.004125960956545701</v>
      </c>
      <c r="G19" s="112">
        <f>(G11-F11)/G17</f>
        <v>0.0036831568587666658</v>
      </c>
      <c r="H19" s="112">
        <f aca="true" t="shared" si="5" ref="H19:AH19">(H11-G11)/((G17+H17)/2)</f>
        <v>0.003537191546203546</v>
      </c>
      <c r="I19" s="112">
        <f>(I11-H11)/((H17+I17)/2)</f>
        <v>0.003305984258204051</v>
      </c>
      <c r="J19" s="112">
        <f>(J11-I11)/((I17+J17)/2)</f>
        <v>0.003150598679003767</v>
      </c>
      <c r="K19" s="112">
        <f>(K11-J11)/((J17+K17)/2)</f>
        <v>0.0030474965151668517</v>
      </c>
      <c r="L19" s="112">
        <f>(L11-K11)/((K17+L17)/2)</f>
        <v>0.0029841506518256183</v>
      </c>
      <c r="M19" s="112">
        <f t="shared" si="5"/>
        <v>0.002953928864120324</v>
      </c>
      <c r="N19" s="112">
        <f t="shared" si="5"/>
        <v>0.010382323572508848</v>
      </c>
      <c r="O19" s="112">
        <f t="shared" si="5"/>
        <v>0.011156270934068655</v>
      </c>
      <c r="P19" s="112">
        <f t="shared" si="5"/>
        <v>0.011987911981852185</v>
      </c>
      <c r="Q19" s="112">
        <f t="shared" si="5"/>
        <v>0.01288154747531078</v>
      </c>
      <c r="R19" s="112">
        <f t="shared" si="5"/>
        <v>0.013841798772787448</v>
      </c>
      <c r="S19" s="112">
        <f t="shared" si="5"/>
        <v>0.014873631730470155</v>
      </c>
      <c r="T19" s="112">
        <f t="shared" si="5"/>
        <v>0.015982382382885813</v>
      </c>
      <c r="U19" s="112">
        <f t="shared" si="5"/>
        <v>0.017173784537739423</v>
      </c>
      <c r="V19" s="112">
        <f t="shared" si="5"/>
        <v>0.01845399942780264</v>
      </c>
      <c r="W19" s="112">
        <f>(W11-V11)/((V17+W17)/2)</f>
        <v>0.019829647573193932</v>
      </c>
      <c r="X19" s="112">
        <f t="shared" si="5"/>
        <v>0.02130784301882343</v>
      </c>
      <c r="Y19" s="112">
        <f t="shared" si="5"/>
        <v>0.022896230124058295</v>
      </c>
      <c r="Z19" s="112">
        <f t="shared" si="5"/>
        <v>0.024603023094863296</v>
      </c>
      <c r="AA19" s="112">
        <f t="shared" si="5"/>
        <v>0.026437048462853514</v>
      </c>
      <c r="AB19" s="112">
        <f t="shared" si="5"/>
        <v>0.02840779073093624</v>
      </c>
      <c r="AC19" s="112">
        <f t="shared" si="5"/>
        <v>0.03052544142159359</v>
      </c>
      <c r="AD19" s="112">
        <f t="shared" si="5"/>
        <v>0.03280095178145632</v>
      </c>
      <c r="AE19" s="112">
        <f t="shared" si="5"/>
        <v>0.03524608941472449</v>
      </c>
      <c r="AF19" s="112">
        <f t="shared" si="5"/>
        <v>0.03787349913831062</v>
      </c>
      <c r="AG19" s="112">
        <f t="shared" si="5"/>
        <v>0.040696768373412115</v>
      </c>
      <c r="AH19" s="112">
        <f t="shared" si="5"/>
        <v>0.04373049741167998</v>
      </c>
      <c r="AI19" s="112">
        <f>(AI11-AH11)/((AH17+AI17)/2)</f>
        <v>0.046990374919359056</v>
      </c>
    </row>
    <row r="20" spans="3:35" s="86" customFormat="1" ht="12.75"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</row>
    <row r="21" spans="2:35" s="86" customFormat="1" ht="12.75">
      <c r="B21" s="111" t="s">
        <v>41</v>
      </c>
      <c r="C21" s="113">
        <v>0</v>
      </c>
      <c r="D21" s="113">
        <f>SUM(C19:D19)</f>
        <v>0.0067597930697147835</v>
      </c>
      <c r="E21" s="113">
        <f>SUM(C19:E19)</f>
        <v>0.011670668881403671</v>
      </c>
      <c r="F21" s="113">
        <f>SUM(C19:F19)</f>
        <v>0.015796629837949373</v>
      </c>
      <c r="G21" s="113">
        <f>SUM(C19:G19)</f>
        <v>0.019479786696716038</v>
      </c>
      <c r="H21" s="113">
        <f>SUM(C19:H19)</f>
        <v>0.023016978242919584</v>
      </c>
      <c r="I21" s="113">
        <f>SUM(C19:I19)</f>
        <v>0.026322962501123634</v>
      </c>
      <c r="J21" s="113">
        <f>SUM(C19:J19)</f>
        <v>0.0294735611801274</v>
      </c>
      <c r="K21" s="113">
        <f>SUM(C19:K19)</f>
        <v>0.03252105769529425</v>
      </c>
      <c r="L21" s="113">
        <f>SUM(C19:L19)</f>
        <v>0.03550520834711987</v>
      </c>
      <c r="M21" s="113">
        <f>SUM(C19:M19)</f>
        <v>0.038459137211240196</v>
      </c>
      <c r="N21" s="113">
        <f>SUM(C19:N19)</f>
        <v>0.04884146078374904</v>
      </c>
      <c r="O21" s="113">
        <f>SUM(C19:O19)</f>
        <v>0.05999773171781769</v>
      </c>
      <c r="P21" s="113">
        <f>SUM(C19:P19)</f>
        <v>0.07198564369966988</v>
      </c>
      <c r="Q21" s="113">
        <f>SUM(C19:Q19)</f>
        <v>0.08486719117498066</v>
      </c>
      <c r="R21" s="113">
        <f>SUM(C19:R19)</f>
        <v>0.09870898994776811</v>
      </c>
      <c r="S21" s="113">
        <f>SUM(C19:S19)</f>
        <v>0.11358262167823827</v>
      </c>
      <c r="T21" s="113">
        <f>SUM(C19:T19)</f>
        <v>0.1295650040611241</v>
      </c>
      <c r="U21" s="113">
        <f>SUM(C19:U19)</f>
        <v>0.14673878859886352</v>
      </c>
      <c r="V21" s="113">
        <f>SUM(C19:V19)</f>
        <v>0.16519278802666615</v>
      </c>
      <c r="W21" s="113">
        <f>SUM(C19:W19)</f>
        <v>0.1850224355998601</v>
      </c>
      <c r="X21" s="113">
        <f>SUM(C19:X19)</f>
        <v>0.20633027861868353</v>
      </c>
      <c r="Y21" s="113">
        <f>SUM(C19:Y19)</f>
        <v>0.2292265087427418</v>
      </c>
      <c r="Z21" s="113">
        <f>SUM(C19:Z19)</f>
        <v>0.2538295318376051</v>
      </c>
      <c r="AA21" s="113">
        <f>SUM(C19:AA19)</f>
        <v>0.2802665803004586</v>
      </c>
      <c r="AB21" s="113">
        <f>SUM(C19:AB19)</f>
        <v>0.30867437103139483</v>
      </c>
      <c r="AC21" s="113">
        <f>SUM(C19:AC19)</f>
        <v>0.3391998124529884</v>
      </c>
      <c r="AD21" s="113">
        <f>SUM(C19:AD19)</f>
        <v>0.3720007642344447</v>
      </c>
      <c r="AE21" s="113">
        <f>SUM(C19:AE19)</f>
        <v>0.40724685364916924</v>
      </c>
      <c r="AF21" s="113">
        <f>SUM(C19:AF19)</f>
        <v>0.44512035278747986</v>
      </c>
      <c r="AG21" s="113">
        <f>SUM(C19:AG19)</f>
        <v>0.485817121160892</v>
      </c>
      <c r="AH21" s="113">
        <f>SUM(C19:AH19)</f>
        <v>0.5295476185725719</v>
      </c>
      <c r="AI21" s="113">
        <f>SUM(C19:AI19)</f>
        <v>0.576537993491931</v>
      </c>
    </row>
    <row r="22" s="86" customFormat="1" ht="12.75"/>
    <row r="23" s="84" customFormat="1" ht="13.5" thickBot="1"/>
    <row r="24" spans="2:25" s="84" customFormat="1" ht="13.5" thickBot="1">
      <c r="B24" s="231" t="s">
        <v>44</v>
      </c>
      <c r="C24" s="221">
        <v>270</v>
      </c>
      <c r="D24" s="222">
        <v>425</v>
      </c>
      <c r="E24" s="223">
        <v>500</v>
      </c>
      <c r="F24" s="224">
        <v>600</v>
      </c>
      <c r="G24" s="85"/>
      <c r="H24" s="85"/>
      <c r="I24" s="85" t="s">
        <v>71</v>
      </c>
      <c r="J24" s="85"/>
      <c r="K24" s="85"/>
      <c r="L24" s="279" t="s">
        <v>69</v>
      </c>
      <c r="M24" s="280">
        <f>M17</f>
        <v>24.944634052529896</v>
      </c>
      <c r="N24" s="281">
        <f>M24</f>
        <v>24.944634052529896</v>
      </c>
      <c r="O24" s="281">
        <f aca="true" t="shared" si="6" ref="O24:V25">N24</f>
        <v>24.944634052529896</v>
      </c>
      <c r="P24" s="281">
        <f t="shared" si="6"/>
        <v>24.944634052529896</v>
      </c>
      <c r="Q24" s="281">
        <f t="shared" si="6"/>
        <v>24.944634052529896</v>
      </c>
      <c r="R24" s="281">
        <f t="shared" si="6"/>
        <v>24.944634052529896</v>
      </c>
      <c r="S24" s="281">
        <f t="shared" si="6"/>
        <v>24.944634052529896</v>
      </c>
      <c r="T24" s="281">
        <f t="shared" si="6"/>
        <v>24.944634052529896</v>
      </c>
      <c r="U24" s="281">
        <f t="shared" si="6"/>
        <v>24.944634052529896</v>
      </c>
      <c r="V24" s="281">
        <f t="shared" si="6"/>
        <v>24.944634052529896</v>
      </c>
      <c r="W24" s="281"/>
      <c r="X24" s="281"/>
      <c r="Y24" s="282"/>
    </row>
    <row r="25" spans="2:25" s="84" customFormat="1" ht="12.75">
      <c r="B25" s="85"/>
      <c r="C25" s="225">
        <v>3.4</v>
      </c>
      <c r="D25" s="114">
        <v>8.1</v>
      </c>
      <c r="E25" s="85">
        <v>8.6</v>
      </c>
      <c r="F25" s="226">
        <v>10.5</v>
      </c>
      <c r="G25" s="85"/>
      <c r="H25" s="85"/>
      <c r="I25" s="85"/>
      <c r="J25" s="85"/>
      <c r="K25" s="85"/>
      <c r="L25" s="283" t="s">
        <v>70</v>
      </c>
      <c r="M25" s="284">
        <f>Analisi!G14</f>
        <v>73.5</v>
      </c>
      <c r="N25" s="284">
        <f>M25</f>
        <v>73.5</v>
      </c>
      <c r="O25" s="284">
        <f t="shared" si="6"/>
        <v>73.5</v>
      </c>
      <c r="P25" s="284">
        <f t="shared" si="6"/>
        <v>73.5</v>
      </c>
      <c r="Q25" s="284">
        <f t="shared" si="6"/>
        <v>73.5</v>
      </c>
      <c r="R25" s="284">
        <f t="shared" si="6"/>
        <v>73.5</v>
      </c>
      <c r="S25" s="284">
        <f t="shared" si="6"/>
        <v>73.5</v>
      </c>
      <c r="T25" s="284">
        <f t="shared" si="6"/>
        <v>73.5</v>
      </c>
      <c r="U25" s="284">
        <f t="shared" si="6"/>
        <v>73.5</v>
      </c>
      <c r="V25" s="284">
        <f t="shared" si="6"/>
        <v>73.5</v>
      </c>
      <c r="W25" s="284"/>
      <c r="X25" s="284"/>
      <c r="Y25" s="285"/>
    </row>
    <row r="26" spans="2:25" s="84" customFormat="1" ht="12.75">
      <c r="B26" s="85"/>
      <c r="C26" s="227">
        <f>Grafici!O6</f>
        <v>271.9449803025001</v>
      </c>
      <c r="D26" s="85"/>
      <c r="E26" s="85"/>
      <c r="F26" s="226"/>
      <c r="G26" s="85"/>
      <c r="H26" s="85"/>
      <c r="I26" s="85"/>
      <c r="J26" s="85"/>
      <c r="K26" s="85"/>
      <c r="L26" s="283">
        <v>0</v>
      </c>
      <c r="M26" s="284">
        <f>M25/10</f>
        <v>7.35</v>
      </c>
      <c r="N26" s="284">
        <f>(N25/10)*2</f>
        <v>14.7</v>
      </c>
      <c r="O26" s="284">
        <f>(O25/10)*3</f>
        <v>22.049999999999997</v>
      </c>
      <c r="P26" s="284">
        <f>(P25/10)*4</f>
        <v>29.4</v>
      </c>
      <c r="Q26" s="284">
        <f>(Q25/10)*5</f>
        <v>36.75</v>
      </c>
      <c r="R26" s="284">
        <f>(R25/10)*6</f>
        <v>44.099999999999994</v>
      </c>
      <c r="S26" s="284">
        <f>(S25/10)*7</f>
        <v>51.449999999999996</v>
      </c>
      <c r="T26" s="284">
        <f>(T25/10)*8</f>
        <v>58.8</v>
      </c>
      <c r="U26" s="284">
        <f>(U25/10)*9</f>
        <v>66.14999999999999</v>
      </c>
      <c r="V26" s="284">
        <f>(V25/10)*10</f>
        <v>73.5</v>
      </c>
      <c r="W26" s="284"/>
      <c r="X26" s="284"/>
      <c r="Y26" s="285"/>
    </row>
    <row r="27" spans="2:25" s="84" customFormat="1" ht="13.5" thickBot="1">
      <c r="B27" s="85"/>
      <c r="C27" s="228">
        <f>_XLL.SPLINE(C24:F24,C25:F25,C26)</f>
        <v>3.4768335086093773</v>
      </c>
      <c r="D27" s="229"/>
      <c r="E27" s="229"/>
      <c r="F27" s="230"/>
      <c r="G27" s="114"/>
      <c r="H27" s="114"/>
      <c r="I27" s="114"/>
      <c r="J27" s="114"/>
      <c r="K27" s="114"/>
      <c r="L27" s="283">
        <v>0</v>
      </c>
      <c r="M27" s="284">
        <f>(M24/M25)*((M25^2-(M26-M25)^2)^0.5)</f>
        <v>10.87311390185812</v>
      </c>
      <c r="N27" s="284">
        <f aca="true" t="shared" si="7" ref="N27:V27">(N24/N25)*((N25^2-(N26-N25)^2)^0.5)</f>
        <v>14.966780431517938</v>
      </c>
      <c r="O27" s="284">
        <f t="shared" si="7"/>
        <v>17.8140318762335</v>
      </c>
      <c r="P27" s="284">
        <f t="shared" si="7"/>
        <v>19.955707242023916</v>
      </c>
      <c r="Q27" s="284">
        <f t="shared" si="7"/>
        <v>21.602686777597263</v>
      </c>
      <c r="R27" s="284">
        <f t="shared" si="7"/>
        <v>22.86213474573826</v>
      </c>
      <c r="S27" s="284">
        <f t="shared" si="7"/>
        <v>23.795664287708316</v>
      </c>
      <c r="T27" s="284">
        <f t="shared" si="7"/>
        <v>24.440650099660786</v>
      </c>
      <c r="U27" s="284">
        <f t="shared" si="7"/>
        <v>24.81959750548924</v>
      </c>
      <c r="V27" s="284">
        <f t="shared" si="7"/>
        <v>24.944634052529896</v>
      </c>
      <c r="W27" s="284"/>
      <c r="X27" s="284"/>
      <c r="Y27" s="285"/>
    </row>
    <row r="28" spans="2:25" s="84" customFormat="1" ht="13.5" thickBo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286">
        <f>L26/100</f>
        <v>0</v>
      </c>
      <c r="M28" s="287">
        <f aca="true" t="shared" si="8" ref="M28:V28">M26/100</f>
        <v>0.0735</v>
      </c>
      <c r="N28" s="287">
        <f t="shared" si="8"/>
        <v>0.147</v>
      </c>
      <c r="O28" s="287">
        <f t="shared" si="8"/>
        <v>0.22049999999999997</v>
      </c>
      <c r="P28" s="287">
        <f t="shared" si="8"/>
        <v>0.294</v>
      </c>
      <c r="Q28" s="287">
        <f t="shared" si="8"/>
        <v>0.3675</v>
      </c>
      <c r="R28" s="287">
        <f t="shared" si="8"/>
        <v>0.44099999999999995</v>
      </c>
      <c r="S28" s="287">
        <f t="shared" si="8"/>
        <v>0.5145</v>
      </c>
      <c r="T28" s="287">
        <f t="shared" si="8"/>
        <v>0.588</v>
      </c>
      <c r="U28" s="287">
        <f t="shared" si="8"/>
        <v>0.6614999999999999</v>
      </c>
      <c r="V28" s="287">
        <f t="shared" si="8"/>
        <v>0.735</v>
      </c>
      <c r="W28" s="287"/>
      <c r="X28" s="287"/>
      <c r="Y28" s="288"/>
    </row>
    <row r="29" spans="2:18" s="84" customFormat="1" ht="12.75">
      <c r="B29" s="85"/>
      <c r="C29" s="114"/>
      <c r="D29" s="11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2:18" s="84" customFormat="1" ht="12.75">
      <c r="B30" s="85"/>
      <c r="C30" s="114"/>
      <c r="D30" s="11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2:18" s="84" customFormat="1" ht="12.7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2:18" s="84" customFormat="1" ht="12.75">
      <c r="B32" s="85"/>
      <c r="C32" s="114"/>
      <c r="D32" s="114"/>
      <c r="E32" s="114"/>
      <c r="F32" s="114"/>
      <c r="G32" s="114"/>
      <c r="H32" s="114"/>
      <c r="I32" s="114"/>
      <c r="J32" s="114"/>
      <c r="K32" s="114"/>
      <c r="L32" s="85"/>
      <c r="M32" s="85"/>
      <c r="N32" s="85"/>
      <c r="O32" s="85"/>
      <c r="P32" s="85"/>
      <c r="Q32" s="85"/>
      <c r="R32" s="85"/>
    </row>
    <row r="33" spans="2:18" s="84" customFormat="1" ht="12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s="84" customFormat="1" ht="12.75">
      <c r="B34" s="8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85"/>
    </row>
    <row r="35" spans="2:18" s="84" customFormat="1" ht="12.75">
      <c r="B35" s="85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117"/>
      <c r="Q35" s="116"/>
      <c r="R35" s="85"/>
    </row>
    <row r="36" spans="2:18" s="84" customFormat="1" ht="12.75">
      <c r="B36" s="85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85"/>
    </row>
    <row r="37" spans="2:18" s="84" customFormat="1" ht="12.75">
      <c r="B37" s="8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85"/>
    </row>
    <row r="38" spans="2:18" s="84" customFormat="1" ht="12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2:18" s="84" customFormat="1" ht="12.75">
      <c r="B39" s="85"/>
      <c r="C39" s="115"/>
      <c r="D39" s="119"/>
      <c r="E39" s="119"/>
      <c r="F39" s="119"/>
      <c r="G39" s="119"/>
      <c r="H39" s="119"/>
      <c r="I39" s="119"/>
      <c r="J39" s="119"/>
      <c r="K39" s="119"/>
      <c r="L39" s="119"/>
      <c r="M39" s="85"/>
      <c r="N39" s="85"/>
      <c r="O39" s="85"/>
      <c r="P39" s="85"/>
      <c r="Q39" s="85"/>
      <c r="R39" s="85"/>
    </row>
    <row r="40" spans="2:18" s="84" customFormat="1" ht="12.75">
      <c r="B40" s="85"/>
      <c r="C40" s="115"/>
      <c r="D40" s="119"/>
      <c r="E40" s="119"/>
      <c r="F40" s="119"/>
      <c r="G40" s="119"/>
      <c r="H40" s="119"/>
      <c r="I40" s="119"/>
      <c r="J40" s="119"/>
      <c r="K40" s="119"/>
      <c r="L40" s="119"/>
      <c r="M40" s="85"/>
      <c r="N40" s="85"/>
      <c r="O40" s="85"/>
      <c r="P40" s="85"/>
      <c r="Q40" s="85"/>
      <c r="R40" s="85"/>
    </row>
    <row r="41" spans="2:18" s="84" customFormat="1" ht="12.75">
      <c r="B41" s="85"/>
      <c r="C41" s="118"/>
      <c r="D41" s="120"/>
      <c r="E41" s="120"/>
      <c r="F41" s="120"/>
      <c r="G41" s="120"/>
      <c r="H41" s="120"/>
      <c r="I41" s="120"/>
      <c r="J41" s="120"/>
      <c r="K41" s="120"/>
      <c r="L41" s="120"/>
      <c r="M41" s="85"/>
      <c r="N41" s="85"/>
      <c r="O41" s="85"/>
      <c r="P41" s="85"/>
      <c r="Q41" s="85"/>
      <c r="R41" s="85"/>
    </row>
    <row r="42" spans="2:18" s="84" customFormat="1" ht="12.75">
      <c r="B42" s="85"/>
      <c r="C42" s="115"/>
      <c r="D42" s="119"/>
      <c r="E42" s="119"/>
      <c r="F42" s="119"/>
      <c r="G42" s="119"/>
      <c r="H42" s="119"/>
      <c r="I42" s="119"/>
      <c r="J42" s="119"/>
      <c r="K42" s="119"/>
      <c r="L42" s="119"/>
      <c r="M42" s="85"/>
      <c r="N42" s="85"/>
      <c r="O42" s="85"/>
      <c r="P42" s="85"/>
      <c r="Q42" s="85"/>
      <c r="R42" s="85"/>
    </row>
    <row r="43" s="84" customFormat="1" ht="12.75"/>
    <row r="44" s="84" customFormat="1" ht="12.75"/>
    <row r="45" s="84" customFormat="1" ht="12.75"/>
    <row r="46" s="84" customFormat="1" ht="12.75"/>
    <row r="47" s="84" customFormat="1" ht="12.75"/>
    <row r="48" s="84" customFormat="1" ht="12.75"/>
    <row r="49" s="84" customFormat="1" ht="12.75"/>
    <row r="50" s="84" customFormat="1" ht="12.75"/>
    <row r="51" s="84" customFormat="1" ht="12.75"/>
    <row r="52" s="84" customFormat="1" ht="12.75"/>
    <row r="53" s="84" customFormat="1" ht="12.75"/>
    <row r="54" s="84" customFormat="1" ht="12.75"/>
    <row r="55" s="70" customFormat="1" ht="12.75" customHeight="1"/>
    <row r="56" s="9" customFormat="1" ht="15.75" customHeight="1" thickBot="1"/>
    <row r="57" spans="2:24" s="9" customFormat="1" ht="13.5" thickBot="1">
      <c r="B57" s="274" t="s">
        <v>6</v>
      </c>
      <c r="C57" s="275"/>
      <c r="D57" s="275"/>
      <c r="E57" s="275"/>
      <c r="F57" s="275"/>
      <c r="G57" s="276"/>
      <c r="L57" s="274"/>
      <c r="M57" s="275"/>
      <c r="N57" s="275"/>
      <c r="O57" s="275"/>
      <c r="P57" s="275"/>
      <c r="Q57" s="276"/>
      <c r="S57" s="274"/>
      <c r="T57" s="275"/>
      <c r="U57" s="275"/>
      <c r="V57" s="275"/>
      <c r="W57" s="275"/>
      <c r="X57" s="276"/>
    </row>
    <row r="58" spans="2:24" s="9" customFormat="1" ht="13.5" thickBot="1">
      <c r="B58" s="15" t="s">
        <v>0</v>
      </c>
      <c r="C58" s="16" t="s">
        <v>2</v>
      </c>
      <c r="D58" s="17" t="s">
        <v>1</v>
      </c>
      <c r="E58" s="18" t="s">
        <v>0</v>
      </c>
      <c r="F58" s="19" t="s">
        <v>2</v>
      </c>
      <c r="G58" s="20" t="s">
        <v>1</v>
      </c>
      <c r="L58" s="15"/>
      <c r="M58" s="16"/>
      <c r="N58" s="17"/>
      <c r="O58" s="18"/>
      <c r="P58" s="19"/>
      <c r="Q58" s="20"/>
      <c r="S58" s="48"/>
      <c r="T58" s="49"/>
      <c r="U58" s="50"/>
      <c r="V58" s="51"/>
      <c r="W58" s="52"/>
      <c r="X58" s="53"/>
    </row>
    <row r="59" spans="2:24" s="9" customFormat="1" ht="12.75">
      <c r="B59" s="37">
        <v>0</v>
      </c>
      <c r="C59" s="1">
        <v>0</v>
      </c>
      <c r="D59" s="10">
        <f aca="true" t="shared" si="9" ref="D59:D67">(C59/25.9)*100+100</f>
        <v>100</v>
      </c>
      <c r="E59" s="4">
        <v>0</v>
      </c>
      <c r="F59" s="31">
        <v>1.4</v>
      </c>
      <c r="G59" s="5">
        <f aca="true" t="shared" si="10" ref="G59:G67">(F59/25.9)*100+100</f>
        <v>105.4054054054054</v>
      </c>
      <c r="L59" s="37"/>
      <c r="M59" s="1"/>
      <c r="N59" s="10"/>
      <c r="O59" s="4"/>
      <c r="P59" s="31"/>
      <c r="Q59" s="5"/>
      <c r="S59" s="65"/>
      <c r="T59" s="54"/>
      <c r="U59" s="55"/>
      <c r="V59" s="57"/>
      <c r="W59" s="67"/>
      <c r="X59" s="56"/>
    </row>
    <row r="60" spans="2:24" s="9" customFormat="1" ht="12.75">
      <c r="B60" s="37">
        <v>3.78</v>
      </c>
      <c r="C60" s="1">
        <v>5.2</v>
      </c>
      <c r="D60" s="10">
        <f t="shared" si="9"/>
        <v>120.07722007722008</v>
      </c>
      <c r="E60" s="4">
        <v>3.78</v>
      </c>
      <c r="F60" s="31">
        <v>7.4</v>
      </c>
      <c r="G60" s="5">
        <f t="shared" si="10"/>
        <v>128.57142857142858</v>
      </c>
      <c r="L60" s="37"/>
      <c r="M60" s="1"/>
      <c r="N60" s="10"/>
      <c r="O60" s="4"/>
      <c r="P60" s="31"/>
      <c r="Q60" s="5"/>
      <c r="S60" s="37"/>
      <c r="T60" s="1"/>
      <c r="U60" s="10"/>
      <c r="V60" s="4"/>
      <c r="W60" s="31"/>
      <c r="X60" s="5"/>
    </row>
    <row r="61" spans="2:24" s="9" customFormat="1" ht="12.75">
      <c r="B61" s="37">
        <v>6.91</v>
      </c>
      <c r="C61" s="1">
        <v>13</v>
      </c>
      <c r="D61" s="10">
        <f t="shared" si="9"/>
        <v>150.1930501930502</v>
      </c>
      <c r="E61" s="4">
        <v>6.91</v>
      </c>
      <c r="F61" s="31">
        <v>16.8</v>
      </c>
      <c r="G61" s="5">
        <f t="shared" si="10"/>
        <v>164.86486486486487</v>
      </c>
      <c r="L61" s="37"/>
      <c r="M61" s="1"/>
      <c r="N61" s="10"/>
      <c r="O61" s="4"/>
      <c r="P61" s="31"/>
      <c r="Q61" s="5"/>
      <c r="S61" s="37"/>
      <c r="T61" s="1"/>
      <c r="U61" s="10"/>
      <c r="V61" s="4"/>
      <c r="W61" s="31"/>
      <c r="X61" s="5"/>
    </row>
    <row r="62" spans="2:24" s="9" customFormat="1" ht="12.75">
      <c r="B62" s="37">
        <v>10.03</v>
      </c>
      <c r="C62" s="1">
        <v>25.2</v>
      </c>
      <c r="D62" s="10">
        <f t="shared" si="9"/>
        <v>197.2972972972973</v>
      </c>
      <c r="E62" s="4">
        <v>10.03</v>
      </c>
      <c r="F62" s="31">
        <v>30.7</v>
      </c>
      <c r="G62" s="5">
        <f t="shared" si="10"/>
        <v>218.53281853281854</v>
      </c>
      <c r="L62" s="37"/>
      <c r="M62" s="1"/>
      <c r="N62" s="10"/>
      <c r="O62" s="4"/>
      <c r="P62" s="31"/>
      <c r="Q62" s="5"/>
      <c r="S62" s="37"/>
      <c r="T62" s="1"/>
      <c r="U62" s="10"/>
      <c r="V62" s="4"/>
      <c r="W62" s="31"/>
      <c r="X62" s="5"/>
    </row>
    <row r="63" spans="2:24" s="9" customFormat="1" ht="12.75">
      <c r="B63" s="37">
        <v>13.16</v>
      </c>
      <c r="C63" s="1">
        <v>40.7</v>
      </c>
      <c r="D63" s="10">
        <f t="shared" si="9"/>
        <v>257.14285714285717</v>
      </c>
      <c r="E63" s="4">
        <v>13.16</v>
      </c>
      <c r="F63" s="31">
        <v>47.2</v>
      </c>
      <c r="G63" s="5">
        <f t="shared" si="10"/>
        <v>282.2393822393823</v>
      </c>
      <c r="L63" s="37"/>
      <c r="M63" s="1"/>
      <c r="N63" s="10"/>
      <c r="O63" s="4"/>
      <c r="P63" s="31"/>
      <c r="Q63" s="5"/>
      <c r="S63" s="37"/>
      <c r="T63" s="1"/>
      <c r="U63" s="10"/>
      <c r="V63" s="4"/>
      <c r="W63" s="31"/>
      <c r="X63" s="5"/>
    </row>
    <row r="64" spans="2:24" s="9" customFormat="1" ht="12.75">
      <c r="B64" s="37">
        <v>15.17</v>
      </c>
      <c r="C64" s="1">
        <v>50.5</v>
      </c>
      <c r="D64" s="10">
        <f t="shared" si="9"/>
        <v>294.980694980695</v>
      </c>
      <c r="E64" s="4">
        <v>15.17</v>
      </c>
      <c r="F64" s="31">
        <v>56.5</v>
      </c>
      <c r="G64" s="5">
        <f t="shared" si="10"/>
        <v>318.1467181467182</v>
      </c>
      <c r="L64" s="37"/>
      <c r="M64" s="1"/>
      <c r="N64" s="10"/>
      <c r="O64" s="4"/>
      <c r="P64" s="31"/>
      <c r="Q64" s="5"/>
      <c r="S64" s="37"/>
      <c r="T64" s="1"/>
      <c r="U64" s="10"/>
      <c r="V64" s="4"/>
      <c r="W64" s="31"/>
      <c r="X64" s="5"/>
    </row>
    <row r="65" spans="2:24" s="9" customFormat="1" ht="12.75">
      <c r="B65" s="37">
        <v>17.18</v>
      </c>
      <c r="C65" s="1">
        <v>59.9</v>
      </c>
      <c r="D65" s="10">
        <f t="shared" si="9"/>
        <v>331.27413127413126</v>
      </c>
      <c r="E65" s="4">
        <v>17.18</v>
      </c>
      <c r="F65" s="31">
        <v>65</v>
      </c>
      <c r="G65" s="5">
        <f t="shared" si="10"/>
        <v>350.965250965251</v>
      </c>
      <c r="L65" s="37"/>
      <c r="M65" s="1"/>
      <c r="N65" s="10"/>
      <c r="O65" s="4"/>
      <c r="P65" s="31"/>
      <c r="Q65" s="5"/>
      <c r="S65" s="37"/>
      <c r="T65" s="1"/>
      <c r="U65" s="10"/>
      <c r="V65" s="4"/>
      <c r="W65" s="31"/>
      <c r="X65" s="5"/>
    </row>
    <row r="66" spans="2:24" s="9" customFormat="1" ht="12.75">
      <c r="B66" s="37">
        <v>19.2</v>
      </c>
      <c r="C66" s="1">
        <v>68.4</v>
      </c>
      <c r="D66" s="10">
        <f t="shared" si="9"/>
        <v>364.09266409266417</v>
      </c>
      <c r="E66" s="4">
        <v>19.2</v>
      </c>
      <c r="F66" s="31">
        <v>72</v>
      </c>
      <c r="G66" s="5">
        <f t="shared" si="10"/>
        <v>377.992277992278</v>
      </c>
      <c r="L66" s="37"/>
      <c r="M66" s="1"/>
      <c r="N66" s="10"/>
      <c r="O66" s="4"/>
      <c r="P66" s="31"/>
      <c r="Q66" s="5"/>
      <c r="S66" s="37"/>
      <c r="T66" s="1"/>
      <c r="U66" s="10"/>
      <c r="V66" s="4"/>
      <c r="W66" s="31"/>
      <c r="X66" s="5"/>
    </row>
    <row r="67" spans="2:24" s="9" customFormat="1" ht="12.75">
      <c r="B67" s="38">
        <v>23</v>
      </c>
      <c r="C67" s="39">
        <v>83</v>
      </c>
      <c r="D67" s="40">
        <f t="shared" si="9"/>
        <v>420.4633204633205</v>
      </c>
      <c r="E67" s="41">
        <v>23</v>
      </c>
      <c r="F67" s="42">
        <v>83</v>
      </c>
      <c r="G67" s="43">
        <f t="shared" si="10"/>
        <v>420.4633204633205</v>
      </c>
      <c r="L67" s="37"/>
      <c r="M67" s="1"/>
      <c r="N67" s="10"/>
      <c r="O67" s="4"/>
      <c r="P67" s="31"/>
      <c r="Q67" s="5"/>
      <c r="S67" s="37"/>
      <c r="T67" s="1"/>
      <c r="U67" s="10"/>
      <c r="V67" s="4"/>
      <c r="W67" s="31"/>
      <c r="X67" s="5"/>
    </row>
    <row r="68" spans="2:24" s="9" customFormat="1" ht="13.5" thickBot="1">
      <c r="B68" s="2"/>
      <c r="C68" s="3"/>
      <c r="D68" s="11"/>
      <c r="E68" s="6"/>
      <c r="F68" s="7"/>
      <c r="G68" s="8"/>
      <c r="L68" s="37"/>
      <c r="M68" s="1"/>
      <c r="N68" s="10"/>
      <c r="O68" s="4"/>
      <c r="P68" s="31"/>
      <c r="Q68" s="5"/>
      <c r="S68" s="37"/>
      <c r="T68" s="1"/>
      <c r="U68" s="10"/>
      <c r="V68" s="4"/>
      <c r="W68" s="31"/>
      <c r="X68" s="5"/>
    </row>
    <row r="69" spans="2:24" s="9" customFormat="1" ht="12.75">
      <c r="B69" s="12" t="s">
        <v>8</v>
      </c>
      <c r="C69" s="12">
        <f aca="true" t="shared" si="11" ref="C69:C76">B60/(C60/100)</f>
        <v>72.69230769230768</v>
      </c>
      <c r="D69" s="14"/>
      <c r="E69" s="12"/>
      <c r="F69" s="12"/>
      <c r="G69" s="14"/>
      <c r="L69" s="37"/>
      <c r="M69" s="1"/>
      <c r="N69" s="10"/>
      <c r="O69" s="4"/>
      <c r="P69" s="31"/>
      <c r="Q69" s="5"/>
      <c r="S69" s="37"/>
      <c r="T69" s="1"/>
      <c r="U69" s="10"/>
      <c r="V69" s="4"/>
      <c r="W69" s="31"/>
      <c r="X69" s="5"/>
    </row>
    <row r="70" spans="2:24" s="9" customFormat="1" ht="12.75">
      <c r="B70" s="12" t="s">
        <v>8</v>
      </c>
      <c r="C70" s="12">
        <f t="shared" si="11"/>
        <v>53.15384615384615</v>
      </c>
      <c r="D70" s="14"/>
      <c r="F70" s="21" t="s">
        <v>3</v>
      </c>
      <c r="G70" s="30" t="s">
        <v>4</v>
      </c>
      <c r="L70" s="38"/>
      <c r="M70" s="39"/>
      <c r="N70" s="40"/>
      <c r="O70" s="41"/>
      <c r="P70" s="42"/>
      <c r="Q70" s="43"/>
      <c r="S70" s="37"/>
      <c r="T70" s="1"/>
      <c r="U70" s="10"/>
      <c r="V70" s="4"/>
      <c r="W70" s="68"/>
      <c r="X70" s="5"/>
    </row>
    <row r="71" spans="2:24" s="9" customFormat="1" ht="13.5" thickBot="1">
      <c r="B71" s="12" t="s">
        <v>8</v>
      </c>
      <c r="C71" s="12">
        <f t="shared" si="11"/>
        <v>39.8015873015873</v>
      </c>
      <c r="D71" s="14"/>
      <c r="F71" s="29">
        <v>0</v>
      </c>
      <c r="G71" s="22">
        <f>Analisi!F34*(G59/100)-Analisi!F34</f>
        <v>1.34350064350064</v>
      </c>
      <c r="L71" s="2"/>
      <c r="M71" s="3"/>
      <c r="N71" s="11"/>
      <c r="O71" s="6"/>
      <c r="P71" s="7"/>
      <c r="Q71" s="8"/>
      <c r="S71" s="37"/>
      <c r="T71" s="1"/>
      <c r="U71" s="10"/>
      <c r="V71" s="41"/>
      <c r="W71" s="42"/>
      <c r="X71" s="5"/>
    </row>
    <row r="72" spans="2:24" s="9" customFormat="1" ht="13.5" thickBot="1">
      <c r="B72" s="12" t="s">
        <v>8</v>
      </c>
      <c r="C72" s="12">
        <f t="shared" si="11"/>
        <v>32.334152334152336</v>
      </c>
      <c r="D72" s="14"/>
      <c r="F72" s="23">
        <f>Analisi!F34*(D60/100)-Analisi!F34</f>
        <v>4.990145247288105</v>
      </c>
      <c r="G72" s="24">
        <f>Analisi!F34*(G60/100)-Analisi!F34</f>
        <v>7.101360544217691</v>
      </c>
      <c r="L72" s="13"/>
      <c r="N72" s="14"/>
      <c r="O72" s="12"/>
      <c r="P72" s="12"/>
      <c r="Q72" s="14"/>
      <c r="S72" s="66"/>
      <c r="T72" s="61"/>
      <c r="U72" s="62"/>
      <c r="V72" s="63"/>
      <c r="W72" s="69"/>
      <c r="X72" s="64"/>
    </row>
    <row r="73" spans="2:22" s="9" customFormat="1" ht="12.75">
      <c r="B73" s="12" t="s">
        <v>8</v>
      </c>
      <c r="C73" s="12">
        <f t="shared" si="11"/>
        <v>30.03960396039604</v>
      </c>
      <c r="D73" s="14"/>
      <c r="F73" s="25">
        <f>Analisi!A153*(D61/100)-Analisi!A153</f>
        <v>12.475363118220262</v>
      </c>
      <c r="G73" s="26">
        <f>Analisi!A153*(G61/100)-Analisi!A153</f>
        <v>16.12200772200772</v>
      </c>
      <c r="L73" s="13"/>
      <c r="N73" s="14"/>
      <c r="P73" s="21"/>
      <c r="Q73" s="30"/>
      <c r="S73" s="12"/>
      <c r="T73" s="12"/>
      <c r="U73" s="14"/>
      <c r="V73" s="12"/>
    </row>
    <row r="74" spans="2:24" s="9" customFormat="1" ht="13.5" thickBot="1">
      <c r="B74" s="12" t="s">
        <v>8</v>
      </c>
      <c r="C74" s="12">
        <f t="shared" si="11"/>
        <v>28.681135225375627</v>
      </c>
      <c r="D74" s="14"/>
      <c r="F74" s="25">
        <f>Analisi!A154*(D62/100)-Analisi!A154</f>
        <v>24.18301158301158</v>
      </c>
      <c r="G74" s="26">
        <f>Analisi!A154*(G62/100)-Analisi!A154</f>
        <v>29.46104982533554</v>
      </c>
      <c r="L74" s="13"/>
      <c r="N74" s="14"/>
      <c r="P74" s="29"/>
      <c r="Q74" s="22"/>
      <c r="S74" s="12"/>
      <c r="T74" s="12"/>
      <c r="W74" s="58"/>
      <c r="X74" s="59"/>
    </row>
    <row r="75" spans="2:24" s="9" customFormat="1" ht="12.75">
      <c r="B75" s="12" t="s">
        <v>8</v>
      </c>
      <c r="C75" s="12">
        <f t="shared" si="11"/>
        <v>28.07017543859649</v>
      </c>
      <c r="D75" s="14"/>
      <c r="F75" s="25">
        <f>Analisi!A155*(D63/100)-Analisi!A155</f>
        <v>39.05748299319728</v>
      </c>
      <c r="G75" s="26">
        <f>Analisi!A155*(G63/100)-Analisi!A155</f>
        <v>45.295164552307426</v>
      </c>
      <c r="L75" s="13"/>
      <c r="N75" s="14"/>
      <c r="P75" s="23"/>
      <c r="Q75" s="24"/>
      <c r="S75" s="12"/>
      <c r="T75" s="12"/>
      <c r="W75" s="60"/>
      <c r="X75" s="24"/>
    </row>
    <row r="76" spans="2:24" s="9" customFormat="1" ht="12.75">
      <c r="B76" s="12" t="s">
        <v>8</v>
      </c>
      <c r="C76" s="12">
        <f t="shared" si="11"/>
        <v>27.710843373493976</v>
      </c>
      <c r="D76" s="14"/>
      <c r="F76" s="25">
        <f>Analisi!A156*(D64/100)-Analisi!A156</f>
        <v>48.461987497701784</v>
      </c>
      <c r="G76" s="26">
        <f>Analisi!A156*(G64/100)-Analisi!A156</f>
        <v>54.219847398418835</v>
      </c>
      <c r="L76" s="13"/>
      <c r="N76" s="14"/>
      <c r="P76" s="25"/>
      <c r="Q76" s="26"/>
      <c r="S76" s="12"/>
      <c r="T76" s="12"/>
      <c r="W76" s="25"/>
      <c r="X76" s="26"/>
    </row>
    <row r="77" spans="6:24" s="9" customFormat="1" ht="12.75">
      <c r="F77" s="25">
        <f>Analisi!A157*(D65/100)-Analisi!A157</f>
        <v>57.48263467549182</v>
      </c>
      <c r="G77" s="26">
        <f>Analisi!A157*(G65/100)-Analisi!A157</f>
        <v>62.37681559110132</v>
      </c>
      <c r="L77" s="13"/>
      <c r="N77" s="14"/>
      <c r="P77" s="25"/>
      <c r="Q77" s="26"/>
      <c r="S77" s="12"/>
      <c r="T77" s="12"/>
      <c r="U77" s="14"/>
      <c r="W77" s="25"/>
      <c r="X77" s="26"/>
    </row>
    <row r="78" spans="6:24" s="9" customFormat="1" ht="12.75">
      <c r="F78" s="25">
        <f>Analisi!A158*(D66/100)-Analisi!A158</f>
        <v>65.63960286817432</v>
      </c>
      <c r="G78" s="26">
        <f>Analisi!A158*(G66/100)-Analisi!A158</f>
        <v>69.09431880860453</v>
      </c>
      <c r="L78" s="13"/>
      <c r="N78" s="14"/>
      <c r="P78" s="25"/>
      <c r="Q78" s="26"/>
      <c r="S78" s="12"/>
      <c r="T78" s="12"/>
      <c r="U78" s="13"/>
      <c r="W78" s="25"/>
      <c r="X78" s="26"/>
    </row>
    <row r="79" spans="6:24" s="9" customFormat="1" ht="12.75">
      <c r="F79" s="25">
        <f>Analisi!A159*(D67/100)-Analisi!A159</f>
        <v>79.65039529325244</v>
      </c>
      <c r="G79" s="26">
        <f>Analisi!A159*(G67/100)-Analisi!A159</f>
        <v>79.65039529325244</v>
      </c>
      <c r="L79" s="13"/>
      <c r="N79" s="14"/>
      <c r="P79" s="25"/>
      <c r="Q79" s="26"/>
      <c r="S79" s="12"/>
      <c r="T79" s="12"/>
      <c r="W79" s="25"/>
      <c r="X79" s="26"/>
    </row>
    <row r="80" spans="6:24" s="9" customFormat="1" ht="12.75">
      <c r="F80" s="25"/>
      <c r="G80" s="26"/>
      <c r="L80" s="13"/>
      <c r="N80" s="14"/>
      <c r="P80" s="25"/>
      <c r="Q80" s="26"/>
      <c r="S80" s="12"/>
      <c r="T80" s="12"/>
      <c r="W80" s="25"/>
      <c r="X80" s="26"/>
    </row>
    <row r="81" spans="6:24" s="9" customFormat="1" ht="12.75">
      <c r="F81" s="25"/>
      <c r="G81" s="26"/>
      <c r="L81" s="13"/>
      <c r="N81" s="14"/>
      <c r="P81" s="25"/>
      <c r="Q81" s="26"/>
      <c r="S81" s="12"/>
      <c r="T81" s="12"/>
      <c r="W81" s="25"/>
      <c r="X81" s="26"/>
    </row>
    <row r="82" spans="6:24" s="9" customFormat="1" ht="12.75">
      <c r="F82" s="25"/>
      <c r="G82" s="26"/>
      <c r="P82" s="25"/>
      <c r="Q82" s="26"/>
      <c r="S82" s="12"/>
      <c r="T82" s="12"/>
      <c r="W82" s="25"/>
      <c r="X82" s="26"/>
    </row>
    <row r="83" spans="6:24" s="9" customFormat="1" ht="13.5" thickBot="1">
      <c r="F83" s="27"/>
      <c r="G83" s="28"/>
      <c r="P83" s="25"/>
      <c r="Q83" s="26"/>
      <c r="S83" s="12"/>
      <c r="T83" s="12"/>
      <c r="W83" s="25"/>
      <c r="X83" s="26"/>
    </row>
    <row r="84" spans="7:24" s="9" customFormat="1" ht="12.75">
      <c r="G84" s="9">
        <f>Analisi!F34*Analisi!F36/100-Analisi!F34</f>
        <v>79.5352380952381</v>
      </c>
      <c r="P84" s="25"/>
      <c r="Q84" s="26"/>
      <c r="S84" s="12"/>
      <c r="T84" s="12"/>
      <c r="W84" s="25"/>
      <c r="X84" s="26"/>
    </row>
    <row r="85" spans="16:24" s="9" customFormat="1" ht="12.75">
      <c r="P85" s="25"/>
      <c r="Q85" s="26"/>
      <c r="T85" s="12"/>
      <c r="W85" s="25"/>
      <c r="X85" s="26"/>
    </row>
    <row r="86" spans="2:24" s="9" customFormat="1" ht="13.5" thickBot="1">
      <c r="B86" s="278"/>
      <c r="C86" s="278"/>
      <c r="D86" s="278"/>
      <c r="E86" s="278"/>
      <c r="F86" s="278"/>
      <c r="G86" s="278"/>
      <c r="P86" s="27"/>
      <c r="Q86" s="28"/>
      <c r="T86" s="12"/>
      <c r="W86" s="25"/>
      <c r="X86" s="26"/>
    </row>
    <row r="87" spans="2:24" s="9" customFormat="1" ht="12.75">
      <c r="B87" s="277"/>
      <c r="C87" s="277"/>
      <c r="D87" s="277"/>
      <c r="E87" s="277"/>
      <c r="F87" s="277"/>
      <c r="G87" s="277"/>
      <c r="H87" s="13"/>
      <c r="I87" s="13"/>
      <c r="J87" s="13"/>
      <c r="K87" s="13"/>
      <c r="T87" s="12"/>
      <c r="W87" s="25"/>
      <c r="X87" s="26"/>
    </row>
    <row r="88" spans="2:24" s="9" customFormat="1" ht="13.5" thickBot="1">
      <c r="B88" s="277"/>
      <c r="C88" s="277"/>
      <c r="D88" s="277"/>
      <c r="E88" s="277"/>
      <c r="F88" s="277"/>
      <c r="G88" s="277"/>
      <c r="H88" s="13"/>
      <c r="I88" s="13"/>
      <c r="J88" s="13"/>
      <c r="K88" s="13"/>
      <c r="T88" s="12"/>
      <c r="W88" s="27"/>
      <c r="X88" s="28"/>
    </row>
    <row r="89" spans="2:11" s="9" customFormat="1" ht="12.75">
      <c r="B89" s="12"/>
      <c r="C89" s="12"/>
      <c r="D89" s="12"/>
      <c r="E89" s="12"/>
      <c r="F89" s="12"/>
      <c r="G89" s="12"/>
      <c r="H89" s="13"/>
      <c r="I89" s="13"/>
      <c r="J89" s="13"/>
      <c r="K89" s="13"/>
    </row>
    <row r="90" spans="4:7" s="9" customFormat="1" ht="12.75">
      <c r="D90" s="14"/>
      <c r="E90" s="12"/>
      <c r="F90" s="12"/>
      <c r="G90" s="14"/>
    </row>
    <row r="91" spans="4:7" s="9" customFormat="1" ht="12.75">
      <c r="D91" s="14"/>
      <c r="E91" s="12"/>
      <c r="F91" s="12"/>
      <c r="G91" s="14"/>
    </row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84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84" customFormat="1" ht="12.75"/>
    <row r="109" s="84" customFormat="1" ht="12.75"/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  <row r="116" s="84" customFormat="1" ht="12.75"/>
    <row r="117" s="84" customFormat="1" ht="12.75"/>
    <row r="118" s="84" customFormat="1" ht="12.75"/>
    <row r="119" s="84" customFormat="1" ht="12.75"/>
    <row r="120" s="84" customFormat="1" ht="12.75"/>
    <row r="121" s="84" customFormat="1" ht="12.75"/>
    <row r="122" s="84" customFormat="1" ht="12.75"/>
    <row r="123" s="84" customFormat="1" ht="12.75"/>
    <row r="124" s="84" customFormat="1" ht="12.75"/>
    <row r="125" s="84" customFormat="1" ht="12.75"/>
    <row r="126" s="84" customFormat="1" ht="12.75"/>
    <row r="127" s="84" customFormat="1" ht="12.75"/>
    <row r="128" s="84" customFormat="1" ht="12.75"/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="84" customFormat="1" ht="12.75"/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="84" customFormat="1" ht="12.75"/>
    <row r="169" s="84" customFormat="1" ht="12.75"/>
    <row r="170" s="84" customFormat="1" ht="12.75"/>
    <row r="171" s="84" customFormat="1" ht="12.75"/>
    <row r="172" s="84" customFormat="1" ht="12.75"/>
    <row r="173" s="84" customFormat="1" ht="12.75"/>
    <row r="174" s="84" customFormat="1" ht="12.75"/>
    <row r="175" s="84" customFormat="1" ht="12.75"/>
    <row r="176" s="84" customFormat="1" ht="12.75"/>
    <row r="177" s="84" customFormat="1" ht="12.75"/>
    <row r="178" s="84" customFormat="1" ht="12.75"/>
    <row r="179" s="84" customFormat="1" ht="12.75"/>
    <row r="180" s="84" customFormat="1" ht="12.75"/>
    <row r="181" s="84" customFormat="1" ht="12.75"/>
    <row r="182" s="84" customFormat="1" ht="12.75"/>
    <row r="183" s="84" customFormat="1" ht="12.75"/>
    <row r="184" s="84" customFormat="1" ht="12.75"/>
    <row r="185" s="84" customFormat="1" ht="12.75"/>
    <row r="186" s="84" customFormat="1" ht="12.75"/>
    <row r="187" s="84" customFormat="1" ht="12.75"/>
    <row r="188" s="84" customFormat="1" ht="12.75"/>
    <row r="189" s="84" customFormat="1" ht="12.75"/>
    <row r="190" s="84" customFormat="1" ht="12.75"/>
    <row r="191" s="84" customFormat="1" ht="12.75"/>
    <row r="192" s="84" customFormat="1" ht="12.75"/>
    <row r="193" s="84" customFormat="1" ht="12.75"/>
    <row r="194" s="84" customFormat="1" ht="12.75"/>
    <row r="195" s="84" customFormat="1" ht="12.75"/>
    <row r="196" s="84" customFormat="1" ht="12.75"/>
    <row r="197" s="84" customFormat="1" ht="12.75"/>
    <row r="198" s="84" customFormat="1" ht="12.75"/>
    <row r="199" s="84" customFormat="1" ht="12.75"/>
    <row r="200" s="84" customFormat="1" ht="12.75"/>
    <row r="201" s="84" customFormat="1" ht="12.75"/>
    <row r="202" s="84" customFormat="1" ht="12.75"/>
    <row r="203" s="84" customFormat="1" ht="12.75"/>
    <row r="204" s="84" customFormat="1" ht="12.75"/>
    <row r="205" s="84" customFormat="1" ht="12.75"/>
    <row r="206" s="84" customFormat="1" ht="12.75"/>
    <row r="207" s="84" customFormat="1" ht="12.75"/>
    <row r="208" s="84" customFormat="1" ht="12.75"/>
    <row r="209" s="84" customFormat="1" ht="12.75"/>
    <row r="210" s="84" customFormat="1" ht="12.75"/>
    <row r="211" s="84" customFormat="1" ht="12.75"/>
    <row r="212" s="84" customFormat="1" ht="12.75"/>
    <row r="213" s="84" customFormat="1" ht="12.75"/>
    <row r="214" s="84" customFormat="1" ht="12.75"/>
    <row r="215" s="84" customFormat="1" ht="12.75"/>
    <row r="216" s="84" customFormat="1" ht="12.75"/>
    <row r="217" s="84" customFormat="1" ht="12.75"/>
    <row r="218" s="84" customFormat="1" ht="12.75"/>
    <row r="219" s="84" customFormat="1" ht="12.75"/>
    <row r="220" s="84" customFormat="1" ht="12.75"/>
    <row r="221" s="84" customFormat="1" ht="12.75"/>
    <row r="222" s="84" customFormat="1" ht="12.75"/>
    <row r="223" s="84" customFormat="1" ht="12.75"/>
    <row r="224" s="84" customFormat="1" ht="12.75"/>
    <row r="225" s="84" customFormat="1" ht="12.75"/>
    <row r="226" s="84" customFormat="1" ht="12.75"/>
    <row r="227" s="84" customFormat="1" ht="12.75"/>
    <row r="228" s="84" customFormat="1" ht="12.75"/>
    <row r="229" s="84" customFormat="1" ht="12.75"/>
    <row r="230" s="84" customFormat="1" ht="12.75"/>
    <row r="231" s="84" customFormat="1" ht="12.75"/>
    <row r="232" s="84" customFormat="1" ht="12.75"/>
    <row r="233" s="84" customFormat="1" ht="12.75"/>
    <row r="234" s="84" customFormat="1" ht="12.75"/>
    <row r="235" s="84" customFormat="1" ht="12.75"/>
    <row r="236" s="84" customFormat="1" ht="12.75"/>
    <row r="237" s="84" customFormat="1" ht="12.75"/>
    <row r="238" s="84" customFormat="1" ht="12.75"/>
    <row r="239" s="84" customFormat="1" ht="12.75"/>
    <row r="240" s="84" customFormat="1" ht="12.75"/>
    <row r="241" s="84" customFormat="1" ht="12.75"/>
    <row r="242" s="84" customFormat="1" ht="12.75"/>
    <row r="243" s="84" customFormat="1" ht="12.75"/>
    <row r="244" s="84" customFormat="1" ht="12.75"/>
    <row r="245" s="84" customFormat="1" ht="12.75"/>
    <row r="246" s="84" customFormat="1" ht="12.75"/>
    <row r="247" s="84" customFormat="1" ht="12.75"/>
    <row r="248" s="84" customFormat="1" ht="12.75"/>
    <row r="249" s="84" customFormat="1" ht="12.75"/>
    <row r="250" s="84" customFormat="1" ht="12.75"/>
    <row r="251" s="84" customFormat="1" ht="12.75"/>
    <row r="252" s="84" customFormat="1" ht="12.75"/>
    <row r="253" s="84" customFormat="1" ht="12.75"/>
    <row r="254" s="84" customFormat="1" ht="12.75"/>
    <row r="255" s="84" customFormat="1" ht="12.75"/>
    <row r="256" s="84" customFormat="1" ht="12.75"/>
    <row r="257" s="84" customFormat="1" ht="12.75"/>
    <row r="258" s="84" customFormat="1" ht="12.75"/>
    <row r="259" s="84" customFormat="1" ht="12.75"/>
    <row r="260" s="84" customFormat="1" ht="12.75"/>
    <row r="261" s="84" customFormat="1" ht="12.75"/>
    <row r="262" s="84" customFormat="1" ht="12.75"/>
    <row r="263" s="84" customFormat="1" ht="12.75"/>
    <row r="264" s="84" customFormat="1" ht="12.75"/>
    <row r="265" s="84" customFormat="1" ht="12.75"/>
    <row r="266" s="84" customFormat="1" ht="12.75"/>
    <row r="267" s="84" customFormat="1" ht="12.75"/>
    <row r="268" s="84" customFormat="1" ht="12.75"/>
    <row r="269" s="84" customFormat="1" ht="12.75"/>
    <row r="270" s="84" customFormat="1" ht="12.75"/>
    <row r="271" s="84" customFormat="1" ht="12.75"/>
    <row r="272" s="84" customFormat="1" ht="12.75"/>
    <row r="273" s="84" customFormat="1" ht="12.75"/>
    <row r="274" s="84" customFormat="1" ht="12.75"/>
    <row r="275" s="84" customFormat="1" ht="12.75"/>
    <row r="276" s="84" customFormat="1" ht="12.75"/>
    <row r="277" s="84" customFormat="1" ht="12.75"/>
    <row r="278" s="84" customFormat="1" ht="12.75"/>
    <row r="279" s="84" customFormat="1" ht="12.75"/>
    <row r="280" s="84" customFormat="1" ht="12.75"/>
    <row r="281" s="84" customFormat="1" ht="12.75"/>
    <row r="282" s="84" customFormat="1" ht="12.75"/>
    <row r="283" s="84" customFormat="1" ht="12.75"/>
    <row r="284" s="84" customFormat="1" ht="12.75"/>
    <row r="285" s="84" customFormat="1" ht="12.75"/>
    <row r="286" s="84" customFormat="1" ht="12.75"/>
    <row r="287" s="84" customFormat="1" ht="12.75"/>
    <row r="288" s="84" customFormat="1" ht="12.75"/>
    <row r="289" s="84" customFormat="1" ht="12.75"/>
    <row r="290" s="84" customFormat="1" ht="12.75"/>
    <row r="291" s="84" customFormat="1" ht="12.75"/>
    <row r="292" s="84" customFormat="1" ht="12.75"/>
    <row r="293" s="84" customFormat="1" ht="12.75"/>
    <row r="294" s="84" customFormat="1" ht="12.75"/>
    <row r="295" s="84" customFormat="1" ht="12.75"/>
    <row r="296" s="84" customFormat="1" ht="12.75"/>
    <row r="297" s="84" customFormat="1" ht="12.75"/>
    <row r="298" s="84" customFormat="1" ht="12.75"/>
    <row r="299" s="84" customFormat="1" ht="12.75"/>
    <row r="300" s="84" customFormat="1" ht="12.75"/>
    <row r="301" s="84" customFormat="1" ht="12.75"/>
    <row r="302" s="84" customFormat="1" ht="12.75"/>
    <row r="303" s="84" customFormat="1" ht="12.75"/>
    <row r="304" s="84" customFormat="1" ht="12.75"/>
    <row r="305" s="84" customFormat="1" ht="12.75"/>
    <row r="306" s="84" customFormat="1" ht="12.75"/>
    <row r="307" s="84" customFormat="1" ht="12.75"/>
    <row r="308" s="84" customFormat="1" ht="12.75"/>
    <row r="309" s="84" customFormat="1" ht="12.75"/>
    <row r="310" s="84" customFormat="1" ht="12.75"/>
    <row r="311" s="84" customFormat="1" ht="12.75"/>
    <row r="312" s="84" customFormat="1" ht="12.75"/>
    <row r="313" s="84" customFormat="1" ht="12.75"/>
    <row r="314" s="84" customFormat="1" ht="12.75"/>
    <row r="315" s="84" customFormat="1" ht="12.75"/>
    <row r="316" s="84" customFormat="1" ht="12.75"/>
    <row r="317" s="84" customFormat="1" ht="12.75"/>
    <row r="318" s="84" customFormat="1" ht="12.75"/>
    <row r="319" s="84" customFormat="1" ht="12.75"/>
    <row r="320" s="84" customFormat="1" ht="12.75"/>
    <row r="321" s="84" customFormat="1" ht="12.75"/>
    <row r="322" s="84" customFormat="1" ht="12.75"/>
    <row r="323" s="84" customFormat="1" ht="12.75"/>
    <row r="324" s="84" customFormat="1" ht="12.75"/>
    <row r="325" s="84" customFormat="1" ht="12.75"/>
    <row r="326" s="84" customFormat="1" ht="12.75"/>
    <row r="327" s="84" customFormat="1" ht="12.75"/>
    <row r="328" s="84" customFormat="1" ht="12.75"/>
    <row r="329" s="84" customFormat="1" ht="12.75"/>
    <row r="330" s="84" customFormat="1" ht="12.75"/>
    <row r="331" s="84" customFormat="1" ht="12.75"/>
    <row r="332" s="84" customFormat="1" ht="12.75"/>
    <row r="333" s="84" customFormat="1" ht="12.75"/>
    <row r="334" s="84" customFormat="1" ht="12.75"/>
    <row r="335" s="84" customFormat="1" ht="12.75"/>
    <row r="336" s="84" customFormat="1" ht="12.75"/>
    <row r="337" s="84" customFormat="1" ht="12.75"/>
    <row r="338" s="84" customFormat="1" ht="12.75"/>
    <row r="339" s="84" customFormat="1" ht="12.75"/>
    <row r="340" s="84" customFormat="1" ht="12.75"/>
    <row r="341" s="84" customFormat="1" ht="12.75"/>
    <row r="342" s="84" customFormat="1" ht="12.75"/>
    <row r="343" s="84" customFormat="1" ht="12.75"/>
    <row r="344" s="84" customFormat="1" ht="12.75"/>
    <row r="345" s="84" customFormat="1" ht="12.75"/>
    <row r="346" s="84" customFormat="1" ht="12.75"/>
    <row r="347" s="84" customFormat="1" ht="12.75"/>
    <row r="348" s="84" customFormat="1" ht="12.75"/>
    <row r="349" s="84" customFormat="1" ht="12.75"/>
    <row r="350" s="84" customFormat="1" ht="12.75"/>
    <row r="351" s="84" customFormat="1" ht="12.75"/>
    <row r="352" s="84" customFormat="1" ht="12.75"/>
    <row r="353" s="84" customFormat="1" ht="12.75"/>
    <row r="354" s="84" customFormat="1" ht="12.75"/>
    <row r="355" s="84" customFormat="1" ht="12.75"/>
    <row r="356" s="84" customFormat="1" ht="12.75"/>
    <row r="357" s="84" customFormat="1" ht="12.75"/>
    <row r="358" s="84" customFormat="1" ht="12.75"/>
    <row r="359" s="84" customFormat="1" ht="12.75"/>
    <row r="360" s="84" customFormat="1" ht="12.75"/>
    <row r="361" s="84" customFormat="1" ht="12.75"/>
    <row r="362" s="84" customFormat="1" ht="12.75"/>
    <row r="363" s="84" customFormat="1" ht="12.75"/>
    <row r="364" s="84" customFormat="1" ht="12.75"/>
    <row r="365" s="84" customFormat="1" ht="12.75"/>
    <row r="366" s="84" customFormat="1" ht="12.75"/>
    <row r="367" s="84" customFormat="1" ht="12.75"/>
    <row r="368" s="84" customFormat="1" ht="12.75"/>
    <row r="369" s="84" customFormat="1" ht="12.75"/>
    <row r="370" s="84" customFormat="1" ht="12.75"/>
    <row r="371" s="84" customFormat="1" ht="12.75"/>
    <row r="372" s="84" customFormat="1" ht="12.75"/>
    <row r="373" s="84" customFormat="1" ht="12.75"/>
    <row r="374" s="84" customFormat="1" ht="12.75"/>
    <row r="375" s="84" customFormat="1" ht="12.75"/>
    <row r="376" s="84" customFormat="1" ht="12.75"/>
    <row r="377" s="84" customFormat="1" ht="12.75"/>
    <row r="378" s="84" customFormat="1" ht="12.75"/>
    <row r="379" s="84" customFormat="1" ht="12.75"/>
    <row r="380" s="84" customFormat="1" ht="12.75"/>
    <row r="381" s="84" customFormat="1" ht="12.75"/>
    <row r="382" s="84" customFormat="1" ht="12.75"/>
    <row r="383" s="84" customFormat="1" ht="12.75"/>
    <row r="384" s="84" customFormat="1" ht="12.75"/>
    <row r="385" s="84" customFormat="1" ht="12.75"/>
    <row r="386" s="84" customFormat="1" ht="12.75"/>
    <row r="387" s="84" customFormat="1" ht="12.75"/>
    <row r="388" s="84" customFormat="1" ht="12.75"/>
    <row r="389" s="84" customFormat="1" ht="12.75"/>
    <row r="390" s="84" customFormat="1" ht="12.75"/>
    <row r="391" s="84" customFormat="1" ht="12.75"/>
    <row r="392" s="84" customFormat="1" ht="12.75"/>
    <row r="393" s="84" customFormat="1" ht="12.75"/>
    <row r="394" s="84" customFormat="1" ht="12.75"/>
    <row r="395" s="84" customFormat="1" ht="12.75"/>
    <row r="396" s="84" customFormat="1" ht="12.75"/>
    <row r="397" s="84" customFormat="1" ht="12.75"/>
    <row r="398" s="84" customFormat="1" ht="12.75"/>
    <row r="399" s="84" customFormat="1" ht="12.75"/>
    <row r="400" s="84" customFormat="1" ht="12.75"/>
    <row r="401" s="84" customFormat="1" ht="12.75"/>
    <row r="402" s="84" customFormat="1" ht="12.75"/>
    <row r="403" s="84" customFormat="1" ht="12.75"/>
    <row r="404" s="84" customFormat="1" ht="12.75"/>
    <row r="405" s="84" customFormat="1" ht="12.75"/>
    <row r="406" s="84" customFormat="1" ht="12.75"/>
    <row r="407" s="84" customFormat="1" ht="12.75"/>
    <row r="408" s="84" customFormat="1" ht="12.75"/>
    <row r="409" s="84" customFormat="1" ht="12.75"/>
    <row r="410" s="84" customFormat="1" ht="12.75"/>
    <row r="411" s="84" customFormat="1" ht="12.75"/>
    <row r="412" s="84" customFormat="1" ht="12.75"/>
    <row r="413" s="84" customFormat="1" ht="12.75"/>
    <row r="414" s="84" customFormat="1" ht="12.75"/>
    <row r="415" s="84" customFormat="1" ht="12.75"/>
    <row r="416" s="84" customFormat="1" ht="12.75"/>
    <row r="417" s="84" customFormat="1" ht="12.75"/>
    <row r="418" s="84" customFormat="1" ht="12.75"/>
    <row r="419" s="84" customFormat="1" ht="12.75"/>
    <row r="420" s="84" customFormat="1" ht="12.75"/>
    <row r="421" s="84" customFormat="1" ht="12.75"/>
    <row r="422" s="84" customFormat="1" ht="12.75"/>
    <row r="423" s="84" customFormat="1" ht="12.75"/>
    <row r="424" s="84" customFormat="1" ht="12.75"/>
    <row r="425" s="84" customFormat="1" ht="12.75"/>
    <row r="426" s="84" customFormat="1" ht="12.75"/>
    <row r="427" s="84" customFormat="1" ht="12.75"/>
    <row r="428" s="84" customFormat="1" ht="12.75"/>
    <row r="429" s="84" customFormat="1" ht="12.75"/>
    <row r="430" s="84" customFormat="1" ht="12.75"/>
    <row r="431" s="84" customFormat="1" ht="12.75"/>
    <row r="432" s="84" customFormat="1" ht="12.75"/>
    <row r="433" s="84" customFormat="1" ht="12.75"/>
    <row r="434" s="84" customFormat="1" ht="12.75"/>
    <row r="435" s="84" customFormat="1" ht="12.75"/>
    <row r="436" s="84" customFormat="1" ht="12.75"/>
    <row r="437" s="84" customFormat="1" ht="12.75"/>
    <row r="438" s="84" customFormat="1" ht="12.75"/>
    <row r="439" s="84" customFormat="1" ht="12.75"/>
    <row r="440" s="84" customFormat="1" ht="12.75"/>
    <row r="441" s="84" customFormat="1" ht="12.75"/>
    <row r="442" s="84" customFormat="1" ht="12.75"/>
    <row r="443" s="84" customFormat="1" ht="12.75"/>
    <row r="444" s="84" customFormat="1" ht="12.75"/>
    <row r="445" s="84" customFormat="1" ht="12.75"/>
    <row r="446" s="84" customFormat="1" ht="12.75"/>
    <row r="447" s="84" customFormat="1" ht="12.75"/>
    <row r="448" s="84" customFormat="1" ht="12.75"/>
    <row r="449" s="84" customFormat="1" ht="12.75"/>
    <row r="450" s="84" customFormat="1" ht="12.75"/>
    <row r="451" s="84" customFormat="1" ht="12.75"/>
    <row r="452" s="84" customFormat="1" ht="12.75"/>
    <row r="453" s="84" customFormat="1" ht="12.75"/>
    <row r="454" s="84" customFormat="1" ht="12.75"/>
    <row r="455" s="84" customFormat="1" ht="12.75"/>
    <row r="456" s="84" customFormat="1" ht="12.75"/>
    <row r="457" s="84" customFormat="1" ht="12.75"/>
    <row r="458" s="84" customFormat="1" ht="12.75"/>
    <row r="459" s="84" customFormat="1" ht="12.75"/>
    <row r="460" s="84" customFormat="1" ht="12.75"/>
    <row r="461" s="84" customFormat="1" ht="12.75"/>
    <row r="462" s="84" customFormat="1" ht="12.75"/>
    <row r="463" s="84" customFormat="1" ht="12.75"/>
    <row r="464" s="84" customFormat="1" ht="12.75"/>
    <row r="465" s="84" customFormat="1" ht="12.75"/>
    <row r="466" s="84" customFormat="1" ht="12.75"/>
    <row r="467" s="84" customFormat="1" ht="12.75"/>
    <row r="468" s="84" customFormat="1" ht="12.75"/>
    <row r="469" s="84" customFormat="1" ht="12.75"/>
    <row r="470" s="84" customFormat="1" ht="12.75"/>
    <row r="471" s="84" customFormat="1" ht="12.75"/>
    <row r="472" s="84" customFormat="1" ht="12.75"/>
    <row r="473" s="84" customFormat="1" ht="12.75"/>
    <row r="474" s="84" customFormat="1" ht="12.75"/>
    <row r="475" s="84" customFormat="1" ht="12.75"/>
    <row r="476" s="84" customFormat="1" ht="12.75"/>
    <row r="477" s="84" customFormat="1" ht="12.75"/>
    <row r="478" s="84" customFormat="1" ht="12.75"/>
    <row r="479" s="84" customFormat="1" ht="12.75"/>
    <row r="480" s="84" customFormat="1" ht="12.75"/>
    <row r="481" s="84" customFormat="1" ht="12.75"/>
    <row r="482" s="84" customFormat="1" ht="12.75"/>
    <row r="483" s="84" customFormat="1" ht="12.75"/>
    <row r="484" s="84" customFormat="1" ht="12.75"/>
    <row r="485" s="84" customFormat="1" ht="12.75"/>
    <row r="486" s="84" customFormat="1" ht="12.75"/>
    <row r="487" s="84" customFormat="1" ht="12.75"/>
    <row r="488" s="84" customFormat="1" ht="12.75"/>
    <row r="489" s="84" customFormat="1" ht="12.75"/>
    <row r="490" s="84" customFormat="1" ht="12.75"/>
    <row r="491" s="84" customFormat="1" ht="12.75"/>
    <row r="492" s="84" customFormat="1" ht="12.75"/>
    <row r="493" s="84" customFormat="1" ht="12.75"/>
    <row r="494" s="84" customFormat="1" ht="12.75"/>
    <row r="495" s="84" customFormat="1" ht="12.75"/>
    <row r="496" s="84" customFormat="1" ht="12.75"/>
    <row r="497" s="84" customFormat="1" ht="12.75"/>
    <row r="498" s="84" customFormat="1" ht="12.75"/>
    <row r="499" s="84" customFormat="1" ht="12.75"/>
    <row r="500" s="84" customFormat="1" ht="12.75"/>
    <row r="501" s="84" customFormat="1" ht="12.75"/>
    <row r="502" s="84" customFormat="1" ht="12.75"/>
    <row r="503" s="84" customFormat="1" ht="12.75"/>
    <row r="504" s="84" customFormat="1" ht="12.75"/>
    <row r="505" s="84" customFormat="1" ht="12.75"/>
    <row r="506" s="84" customFormat="1" ht="12.75"/>
    <row r="507" s="84" customFormat="1" ht="12.75"/>
    <row r="508" s="84" customFormat="1" ht="12.75"/>
    <row r="509" s="84" customFormat="1" ht="12.75"/>
    <row r="510" s="84" customFormat="1" ht="12.75"/>
    <row r="511" s="84" customFormat="1" ht="12.75"/>
    <row r="512" s="84" customFormat="1" ht="12.75"/>
    <row r="513" s="84" customFormat="1" ht="12.75"/>
    <row r="514" s="84" customFormat="1" ht="12.75"/>
    <row r="515" s="84" customFormat="1" ht="12.75"/>
    <row r="516" s="84" customFormat="1" ht="12.75"/>
    <row r="517" s="84" customFormat="1" ht="12.75"/>
    <row r="518" s="84" customFormat="1" ht="12.75"/>
    <row r="519" s="84" customFormat="1" ht="12.75"/>
    <row r="520" s="84" customFormat="1" ht="12.75"/>
    <row r="521" s="84" customFormat="1" ht="12.75"/>
    <row r="522" s="84" customFormat="1" ht="12.75"/>
    <row r="523" s="84" customFormat="1" ht="12.75"/>
    <row r="524" s="84" customFormat="1" ht="12.75"/>
    <row r="525" s="84" customFormat="1" ht="12.75"/>
    <row r="526" s="84" customFormat="1" ht="12.75"/>
    <row r="527" s="84" customFormat="1" ht="12.75"/>
    <row r="528" s="84" customFormat="1" ht="12.75"/>
    <row r="529" s="84" customFormat="1" ht="12.75"/>
    <row r="530" s="84" customFormat="1" ht="12.75"/>
    <row r="531" s="84" customFormat="1" ht="12.75"/>
    <row r="532" s="84" customFormat="1" ht="12.75"/>
    <row r="533" s="84" customFormat="1" ht="12.75"/>
    <row r="534" s="84" customFormat="1" ht="12.75"/>
    <row r="535" s="84" customFormat="1" ht="12.75"/>
    <row r="536" s="84" customFormat="1" ht="12.75"/>
    <row r="537" s="84" customFormat="1" ht="12.75"/>
    <row r="538" s="84" customFormat="1" ht="12.75"/>
    <row r="539" s="84" customFormat="1" ht="12.75"/>
    <row r="540" s="84" customFormat="1" ht="12.75"/>
    <row r="541" s="84" customFormat="1" ht="12.75"/>
    <row r="542" s="84" customFormat="1" ht="12.75"/>
    <row r="543" s="84" customFormat="1" ht="12.75"/>
    <row r="544" s="84" customFormat="1" ht="12.75"/>
    <row r="545" s="84" customFormat="1" ht="12.75"/>
    <row r="546" s="84" customFormat="1" ht="12.75"/>
    <row r="547" s="84" customFormat="1" ht="12.75"/>
    <row r="548" s="84" customFormat="1" ht="12.75"/>
    <row r="549" s="84" customFormat="1" ht="12.75"/>
    <row r="550" s="84" customFormat="1" ht="12.75"/>
    <row r="551" s="84" customFormat="1" ht="12.75"/>
    <row r="552" s="84" customFormat="1" ht="12.75"/>
    <row r="553" s="84" customFormat="1" ht="12.75"/>
    <row r="554" s="84" customFormat="1" ht="12.75"/>
    <row r="555" s="84" customFormat="1" ht="12.75"/>
    <row r="556" s="84" customFormat="1" ht="12.75"/>
    <row r="557" s="84" customFormat="1" ht="12.75"/>
    <row r="558" s="84" customFormat="1" ht="12.75"/>
    <row r="559" s="84" customFormat="1" ht="12.75"/>
    <row r="560" s="84" customFormat="1" ht="12.75"/>
    <row r="561" s="84" customFormat="1" ht="12.75"/>
    <row r="562" s="84" customFormat="1" ht="12.75"/>
    <row r="563" s="84" customFormat="1" ht="12.75"/>
    <row r="564" s="84" customFormat="1" ht="12.75"/>
    <row r="565" s="84" customFormat="1" ht="12.75"/>
    <row r="566" s="84" customFormat="1" ht="12.75"/>
    <row r="567" s="84" customFormat="1" ht="12.75"/>
    <row r="568" s="84" customFormat="1" ht="12.75"/>
    <row r="569" s="84" customFormat="1" ht="12.75"/>
    <row r="570" s="84" customFormat="1" ht="12.75"/>
    <row r="571" s="84" customFormat="1" ht="12.75"/>
    <row r="572" s="84" customFormat="1" ht="12.75"/>
    <row r="573" s="84" customFormat="1" ht="12.75"/>
    <row r="574" s="84" customFormat="1" ht="12.75"/>
    <row r="575" s="84" customFormat="1" ht="12.75"/>
    <row r="576" s="84" customFormat="1" ht="12.75"/>
    <row r="577" s="84" customFormat="1" ht="12.75"/>
    <row r="578" s="84" customFormat="1" ht="12.75"/>
    <row r="579" s="84" customFormat="1" ht="12.75"/>
    <row r="580" s="84" customFormat="1" ht="12.75"/>
    <row r="581" s="84" customFormat="1" ht="12.75"/>
    <row r="582" s="84" customFormat="1" ht="12.75"/>
    <row r="583" s="84" customFormat="1" ht="12.75"/>
    <row r="584" s="84" customFormat="1" ht="12.75"/>
    <row r="585" s="84" customFormat="1" ht="12.75"/>
    <row r="586" s="84" customFormat="1" ht="12.75"/>
    <row r="587" s="84" customFormat="1" ht="12.75"/>
    <row r="588" s="84" customFormat="1" ht="12.75"/>
    <row r="589" s="84" customFormat="1" ht="12.75"/>
    <row r="590" s="84" customFormat="1" ht="12.75"/>
    <row r="591" s="84" customFormat="1" ht="12.75"/>
    <row r="592" s="84" customFormat="1" ht="12.75"/>
    <row r="593" s="84" customFormat="1" ht="12.75"/>
    <row r="594" s="84" customFormat="1" ht="12.75"/>
    <row r="595" s="84" customFormat="1" ht="12.75"/>
    <row r="596" s="84" customFormat="1" ht="12.75"/>
    <row r="597" s="84" customFormat="1" ht="12.75"/>
    <row r="598" s="84" customFormat="1" ht="12.75"/>
    <row r="599" s="84" customFormat="1" ht="12.75"/>
    <row r="600" s="84" customFormat="1" ht="12.75"/>
    <row r="601" s="84" customFormat="1" ht="12.75"/>
    <row r="602" s="84" customFormat="1" ht="12.75"/>
    <row r="603" s="84" customFormat="1" ht="12.75"/>
    <row r="604" s="84" customFormat="1" ht="12.75"/>
    <row r="605" s="84" customFormat="1" ht="12.75"/>
    <row r="606" s="84" customFormat="1" ht="12.75"/>
    <row r="607" s="84" customFormat="1" ht="12.75"/>
    <row r="608" s="84" customFormat="1" ht="12.75"/>
    <row r="609" s="84" customFormat="1" ht="12.75"/>
    <row r="610" s="84" customFormat="1" ht="12.75"/>
    <row r="611" s="84" customFormat="1" ht="12.75"/>
    <row r="612" s="84" customFormat="1" ht="12.75"/>
    <row r="613" s="84" customFormat="1" ht="12.75"/>
    <row r="614" s="84" customFormat="1" ht="12.75"/>
    <row r="615" s="84" customFormat="1" ht="12.75"/>
    <row r="616" s="84" customFormat="1" ht="12.75"/>
    <row r="617" s="84" customFormat="1" ht="12.75"/>
    <row r="618" s="84" customFormat="1" ht="12.75"/>
    <row r="619" s="84" customFormat="1" ht="12.75"/>
    <row r="620" s="84" customFormat="1" ht="12.75"/>
    <row r="621" s="84" customFormat="1" ht="12.75"/>
    <row r="622" s="84" customFormat="1" ht="12.75"/>
    <row r="623" s="84" customFormat="1" ht="12.75"/>
    <row r="624" s="84" customFormat="1" ht="12.75"/>
    <row r="625" s="84" customFormat="1" ht="12.75"/>
    <row r="626" s="84" customFormat="1" ht="12.75"/>
    <row r="627" s="84" customFormat="1" ht="12.75"/>
    <row r="628" s="84" customFormat="1" ht="12.75"/>
    <row r="629" s="84" customFormat="1" ht="12.75"/>
    <row r="630" s="84" customFormat="1" ht="12.75"/>
    <row r="631" s="84" customFormat="1" ht="12.75"/>
    <row r="632" s="84" customFormat="1" ht="12.75"/>
    <row r="633" s="84" customFormat="1" ht="12.75"/>
    <row r="634" s="84" customFormat="1" ht="12.75"/>
    <row r="635" s="84" customFormat="1" ht="12.75"/>
    <row r="636" s="84" customFormat="1" ht="12.75"/>
    <row r="637" s="84" customFormat="1" ht="12.75"/>
    <row r="638" s="84" customFormat="1" ht="12.75"/>
    <row r="639" s="84" customFormat="1" ht="12.75"/>
    <row r="640" s="84" customFormat="1" ht="12.75"/>
    <row r="641" s="84" customFormat="1" ht="12.75"/>
    <row r="642" s="84" customFormat="1" ht="12.75"/>
    <row r="643" s="84" customFormat="1" ht="12.75"/>
    <row r="644" s="84" customFormat="1" ht="12.75"/>
    <row r="645" s="84" customFormat="1" ht="12.75"/>
    <row r="646" s="84" customFormat="1" ht="12.75"/>
    <row r="647" s="84" customFormat="1" ht="12.75"/>
    <row r="648" s="84" customFormat="1" ht="12.75"/>
    <row r="649" s="84" customFormat="1" ht="12.75"/>
    <row r="650" s="84" customFormat="1" ht="12.75"/>
    <row r="651" s="84" customFormat="1" ht="12.75"/>
    <row r="652" s="84" customFormat="1" ht="12.75"/>
    <row r="653" s="84" customFormat="1" ht="12.75"/>
    <row r="654" s="84" customFormat="1" ht="12.75"/>
    <row r="655" s="84" customFormat="1" ht="12.75"/>
    <row r="656" s="84" customFormat="1" ht="12.75"/>
    <row r="657" s="84" customFormat="1" ht="12.75"/>
    <row r="658" s="84" customFormat="1" ht="12.75"/>
    <row r="659" s="84" customFormat="1" ht="12.75"/>
    <row r="660" s="84" customFormat="1" ht="12.75"/>
    <row r="661" s="84" customFormat="1" ht="12.75"/>
    <row r="662" s="84" customFormat="1" ht="12.75"/>
    <row r="663" s="84" customFormat="1" ht="12.75"/>
    <row r="664" s="84" customFormat="1" ht="12.75"/>
    <row r="665" s="84" customFormat="1" ht="12.75"/>
    <row r="666" s="84" customFormat="1" ht="12.75"/>
    <row r="667" s="84" customFormat="1" ht="12.75"/>
    <row r="668" s="84" customFormat="1" ht="12.75"/>
    <row r="669" s="84" customFormat="1" ht="12.75"/>
    <row r="670" s="84" customFormat="1" ht="12.75"/>
    <row r="671" s="84" customFormat="1" ht="12.75"/>
    <row r="672" s="84" customFormat="1" ht="12.75"/>
    <row r="673" s="84" customFormat="1" ht="12.75"/>
    <row r="674" s="84" customFormat="1" ht="12.75"/>
    <row r="675" s="84" customFormat="1" ht="12.75"/>
    <row r="676" s="84" customFormat="1" ht="12.75"/>
    <row r="677" s="84" customFormat="1" ht="12.75"/>
    <row r="678" s="84" customFormat="1" ht="12.75"/>
    <row r="679" s="84" customFormat="1" ht="12.75"/>
    <row r="680" s="84" customFormat="1" ht="12.75"/>
    <row r="681" s="84" customFormat="1" ht="12.75"/>
    <row r="682" s="84" customFormat="1" ht="12.75"/>
    <row r="683" s="84" customFormat="1" ht="12.75"/>
    <row r="684" s="84" customFormat="1" ht="12.75"/>
    <row r="685" s="84" customFormat="1" ht="12.75"/>
    <row r="686" s="84" customFormat="1" ht="12.75"/>
    <row r="687" s="84" customFormat="1" ht="12.75"/>
    <row r="688" s="84" customFormat="1" ht="12.75"/>
    <row r="689" s="84" customFormat="1" ht="12.75"/>
    <row r="690" s="84" customFormat="1" ht="12.75"/>
    <row r="691" s="84" customFormat="1" ht="12.75"/>
    <row r="692" s="84" customFormat="1" ht="12.75"/>
    <row r="693" s="84" customFormat="1" ht="12.75"/>
    <row r="694" s="84" customFormat="1" ht="12.75"/>
    <row r="695" s="84" customFormat="1" ht="12.75"/>
    <row r="696" s="84" customFormat="1" ht="12.75"/>
    <row r="697" s="84" customFormat="1" ht="12.75"/>
    <row r="698" s="84" customFormat="1" ht="12.75"/>
    <row r="699" s="84" customFormat="1" ht="12.75"/>
    <row r="700" s="84" customFormat="1" ht="12.75"/>
    <row r="701" s="84" customFormat="1" ht="12.75"/>
    <row r="702" s="84" customFormat="1" ht="12.75"/>
    <row r="703" s="84" customFormat="1" ht="12.75"/>
    <row r="704" s="84" customFormat="1" ht="12.75"/>
    <row r="705" s="84" customFormat="1" ht="12.75"/>
    <row r="706" s="84" customFormat="1" ht="12.75"/>
    <row r="707" s="84" customFormat="1" ht="12.75"/>
    <row r="708" s="84" customFormat="1" ht="12.75"/>
    <row r="709" s="84" customFormat="1" ht="12.75"/>
    <row r="710" s="84" customFormat="1" ht="12.75"/>
    <row r="711" s="84" customFormat="1" ht="12.75"/>
    <row r="712" s="84" customFormat="1" ht="12.75"/>
    <row r="713" s="84" customFormat="1" ht="12.75"/>
    <row r="714" s="84" customFormat="1" ht="12.75"/>
    <row r="715" s="84" customFormat="1" ht="12.75"/>
    <row r="716" s="84" customFormat="1" ht="12.75"/>
    <row r="717" s="84" customFormat="1" ht="12.75"/>
    <row r="718" s="84" customFormat="1" ht="12.75"/>
    <row r="719" s="84" customFormat="1" ht="12.75"/>
    <row r="720" s="84" customFormat="1" ht="12.75"/>
    <row r="721" s="84" customFormat="1" ht="12.75"/>
    <row r="722" s="84" customFormat="1" ht="12.75"/>
    <row r="723" s="84" customFormat="1" ht="12.75"/>
    <row r="724" s="84" customFormat="1" ht="12.75"/>
    <row r="725" s="84" customFormat="1" ht="12.75"/>
    <row r="726" s="84" customFormat="1" ht="12.75"/>
    <row r="727" s="84" customFormat="1" ht="12.75"/>
    <row r="728" s="84" customFormat="1" ht="12.75"/>
    <row r="729" s="84" customFormat="1" ht="12.75"/>
    <row r="730" s="84" customFormat="1" ht="12.75"/>
    <row r="731" s="84" customFormat="1" ht="12.75"/>
    <row r="732" s="84" customFormat="1" ht="12.75"/>
    <row r="733" s="84" customFormat="1" ht="12.75"/>
    <row r="734" s="84" customFormat="1" ht="12.75"/>
    <row r="735" s="84" customFormat="1" ht="12.75"/>
    <row r="736" s="84" customFormat="1" ht="12.75"/>
    <row r="737" s="84" customFormat="1" ht="12.75"/>
    <row r="738" s="84" customFormat="1" ht="12.75"/>
    <row r="739" s="84" customFormat="1" ht="12.75"/>
    <row r="740" s="84" customFormat="1" ht="12.75"/>
    <row r="741" s="84" customFormat="1" ht="12.75"/>
    <row r="742" s="84" customFormat="1" ht="12.75"/>
    <row r="743" s="84" customFormat="1" ht="12.75"/>
    <row r="744" s="84" customFormat="1" ht="12.75"/>
    <row r="745" s="84" customFormat="1" ht="12.75"/>
    <row r="746" s="84" customFormat="1" ht="12.75"/>
    <row r="747" s="84" customFormat="1" ht="12.75"/>
    <row r="748" s="84" customFormat="1" ht="12.75"/>
    <row r="749" s="84" customFormat="1" ht="12.75"/>
    <row r="750" s="84" customFormat="1" ht="12.75"/>
    <row r="751" s="84" customFormat="1" ht="12.75"/>
    <row r="752" s="84" customFormat="1" ht="12.75"/>
    <row r="753" s="84" customFormat="1" ht="12.75"/>
    <row r="754" s="84" customFormat="1" ht="12.75"/>
    <row r="755" s="84" customFormat="1" ht="12.75"/>
    <row r="756" s="84" customFormat="1" ht="12.75"/>
    <row r="757" s="84" customFormat="1" ht="12.75"/>
    <row r="758" s="84" customFormat="1" ht="12.75"/>
    <row r="759" s="84" customFormat="1" ht="12.75"/>
    <row r="760" s="84" customFormat="1" ht="12.75"/>
    <row r="761" s="84" customFormat="1" ht="12.75"/>
    <row r="762" s="84" customFormat="1" ht="12.75"/>
    <row r="763" s="84" customFormat="1" ht="12.75"/>
    <row r="764" s="84" customFormat="1" ht="12.75"/>
    <row r="765" s="84" customFormat="1" ht="12.75"/>
    <row r="766" s="84" customFormat="1" ht="12.75"/>
    <row r="767" s="84" customFormat="1" ht="12.75"/>
    <row r="768" s="84" customFormat="1" ht="12.75"/>
    <row r="769" s="84" customFormat="1" ht="12.75"/>
    <row r="770" s="84" customFormat="1" ht="12.75"/>
    <row r="771" s="84" customFormat="1" ht="12.75"/>
    <row r="772" s="84" customFormat="1" ht="12.75"/>
    <row r="773" s="84" customFormat="1" ht="12.75"/>
    <row r="774" s="84" customFormat="1" ht="12.75"/>
    <row r="775" s="84" customFormat="1" ht="12.75"/>
    <row r="776" s="84" customFormat="1" ht="12.75"/>
    <row r="777" s="84" customFormat="1" ht="12.75"/>
    <row r="778" s="84" customFormat="1" ht="12.75"/>
    <row r="779" s="84" customFormat="1" ht="12.75"/>
    <row r="780" s="84" customFormat="1" ht="12.75"/>
    <row r="781" s="84" customFormat="1" ht="12.75"/>
    <row r="782" s="84" customFormat="1" ht="12.75"/>
    <row r="783" s="84" customFormat="1" ht="12.75"/>
    <row r="784" s="84" customFormat="1" ht="12.75"/>
    <row r="785" s="84" customFormat="1" ht="12.75"/>
    <row r="786" s="84" customFormat="1" ht="12.75"/>
    <row r="787" s="84" customFormat="1" ht="12.75"/>
    <row r="788" s="84" customFormat="1" ht="12.75"/>
    <row r="789" s="84" customFormat="1" ht="12.75"/>
    <row r="790" s="84" customFormat="1" ht="12.75"/>
    <row r="791" s="84" customFormat="1" ht="12.75"/>
    <row r="792" s="84" customFormat="1" ht="12.75"/>
    <row r="793" s="84" customFormat="1" ht="12.75"/>
    <row r="794" s="84" customFormat="1" ht="12.75"/>
    <row r="795" s="84" customFormat="1" ht="12.75"/>
    <row r="796" s="84" customFormat="1" ht="12.75"/>
    <row r="797" s="84" customFormat="1" ht="12.75"/>
    <row r="798" s="84" customFormat="1" ht="12.75"/>
    <row r="799" s="84" customFormat="1" ht="12.75"/>
    <row r="800" s="84" customFormat="1" ht="12.75"/>
    <row r="801" s="84" customFormat="1" ht="12.75"/>
    <row r="802" s="84" customFormat="1" ht="12.75"/>
    <row r="803" s="84" customFormat="1" ht="12.75"/>
    <row r="804" s="84" customFormat="1" ht="12.75"/>
    <row r="805" s="84" customFormat="1" ht="12.75"/>
    <row r="806" s="84" customFormat="1" ht="12.75"/>
    <row r="807" s="84" customFormat="1" ht="12.75"/>
    <row r="808" s="84" customFormat="1" ht="12.75"/>
    <row r="809" s="84" customFormat="1" ht="12.75"/>
    <row r="810" s="84" customFormat="1" ht="12.75"/>
    <row r="811" s="84" customFormat="1" ht="12.75"/>
    <row r="812" s="84" customFormat="1" ht="12.75"/>
    <row r="813" s="84" customFormat="1" ht="12.75"/>
    <row r="814" s="84" customFormat="1" ht="12.75"/>
    <row r="815" s="84" customFormat="1" ht="12.75"/>
    <row r="816" s="84" customFormat="1" ht="12.75"/>
    <row r="817" s="84" customFormat="1" ht="12.75"/>
    <row r="818" s="84" customFormat="1" ht="12.75"/>
    <row r="819" s="84" customFormat="1" ht="12.75"/>
    <row r="820" s="84" customFormat="1" ht="12.75"/>
    <row r="821" s="84" customFormat="1" ht="12.75"/>
    <row r="822" s="84" customFormat="1" ht="12.75"/>
    <row r="823" s="84" customFormat="1" ht="12.75"/>
    <row r="824" s="84" customFormat="1" ht="12.75"/>
    <row r="825" s="84" customFormat="1" ht="12.75"/>
    <row r="826" s="84" customFormat="1" ht="12.75"/>
    <row r="827" s="84" customFormat="1" ht="12.75"/>
    <row r="828" s="84" customFormat="1" ht="12.75"/>
    <row r="829" s="84" customFormat="1" ht="12.75"/>
    <row r="830" s="84" customFormat="1" ht="12.75"/>
    <row r="831" s="84" customFormat="1" ht="12.75"/>
    <row r="832" s="84" customFormat="1" ht="12.75"/>
    <row r="833" s="84" customFormat="1" ht="12.75"/>
    <row r="834" s="84" customFormat="1" ht="12.75"/>
    <row r="835" s="84" customFormat="1" ht="12.75"/>
    <row r="836" s="84" customFormat="1" ht="12.75"/>
    <row r="837" s="84" customFormat="1" ht="12.75"/>
    <row r="838" s="84" customFormat="1" ht="12.75"/>
    <row r="839" s="84" customFormat="1" ht="12.75"/>
    <row r="840" s="84" customFormat="1" ht="12.75"/>
    <row r="841" s="84" customFormat="1" ht="12.75"/>
    <row r="842" s="84" customFormat="1" ht="12.75"/>
    <row r="843" s="84" customFormat="1" ht="12.75"/>
    <row r="844" s="84" customFormat="1" ht="12.75"/>
    <row r="845" s="84" customFormat="1" ht="12.75"/>
    <row r="846" s="84" customFormat="1" ht="12.75"/>
    <row r="847" s="84" customFormat="1" ht="12.75"/>
    <row r="848" s="84" customFormat="1" ht="12.75"/>
    <row r="849" s="84" customFormat="1" ht="12.75"/>
    <row r="850" s="84" customFormat="1" ht="12.75"/>
    <row r="851" s="84" customFormat="1" ht="12.75"/>
    <row r="852" s="84" customFormat="1" ht="12.75"/>
    <row r="853" s="84" customFormat="1" ht="12.75"/>
    <row r="854" s="84" customFormat="1" ht="12.75"/>
    <row r="855" s="84" customFormat="1" ht="12.75"/>
    <row r="856" s="84" customFormat="1" ht="12.75"/>
    <row r="857" s="84" customFormat="1" ht="12.75"/>
    <row r="858" s="84" customFormat="1" ht="12.75"/>
    <row r="859" s="84" customFormat="1" ht="12.75"/>
    <row r="860" s="84" customFormat="1" ht="12.75"/>
    <row r="861" s="84" customFormat="1" ht="12.75"/>
    <row r="862" s="84" customFormat="1" ht="12.75"/>
    <row r="863" s="84" customFormat="1" ht="12.75"/>
    <row r="864" s="84" customFormat="1" ht="12.75"/>
    <row r="865" s="84" customFormat="1" ht="12.75"/>
    <row r="866" s="84" customFormat="1" ht="12.75"/>
    <row r="867" s="84" customFormat="1" ht="12.75"/>
    <row r="868" s="84" customFormat="1" ht="12.75"/>
    <row r="869" s="84" customFormat="1" ht="12.75"/>
    <row r="870" s="84" customFormat="1" ht="12.75"/>
    <row r="871" s="84" customFormat="1" ht="12.75"/>
    <row r="872" s="84" customFormat="1" ht="12.75"/>
    <row r="873" s="84" customFormat="1" ht="12.75"/>
    <row r="874" s="84" customFormat="1" ht="12.75"/>
    <row r="875" s="84" customFormat="1" ht="12.75"/>
    <row r="876" s="84" customFormat="1" ht="12.75"/>
    <row r="877" s="84" customFormat="1" ht="12.75"/>
    <row r="878" s="84" customFormat="1" ht="12.75"/>
    <row r="879" s="84" customFormat="1" ht="12.75"/>
    <row r="880" s="84" customFormat="1" ht="12.75"/>
    <row r="881" s="84" customFormat="1" ht="12.75"/>
    <row r="882" s="84" customFormat="1" ht="12.75"/>
    <row r="883" s="84" customFormat="1" ht="12.75"/>
    <row r="884" s="84" customFormat="1" ht="12.75"/>
    <row r="885" s="84" customFormat="1" ht="12.75"/>
    <row r="886" s="84" customFormat="1" ht="12.75"/>
    <row r="887" s="84" customFormat="1" ht="12.75"/>
    <row r="888" s="84" customFormat="1" ht="12.75"/>
    <row r="889" s="84" customFormat="1" ht="12.75"/>
    <row r="890" s="84" customFormat="1" ht="12.75"/>
    <row r="891" s="84" customFormat="1" ht="12.75"/>
    <row r="892" s="84" customFormat="1" ht="12.75"/>
    <row r="893" s="84" customFormat="1" ht="12.75"/>
    <row r="894" s="84" customFormat="1" ht="12.75"/>
    <row r="895" s="84" customFormat="1" ht="12.75"/>
    <row r="896" s="84" customFormat="1" ht="12.75"/>
    <row r="897" s="84" customFormat="1" ht="12.75"/>
    <row r="898" s="84" customFormat="1" ht="12.75"/>
    <row r="899" s="84" customFormat="1" ht="12.75"/>
    <row r="900" s="84" customFormat="1" ht="12.75"/>
    <row r="901" s="84" customFormat="1" ht="12.75"/>
    <row r="902" s="84" customFormat="1" ht="12.75"/>
    <row r="903" s="84" customFormat="1" ht="12.75"/>
    <row r="904" s="84" customFormat="1" ht="12.75"/>
    <row r="905" s="84" customFormat="1" ht="12.75"/>
    <row r="906" s="84" customFormat="1" ht="12.75"/>
    <row r="907" s="84" customFormat="1" ht="12.75"/>
    <row r="908" s="84" customFormat="1" ht="12.75"/>
    <row r="909" s="84" customFormat="1" ht="12.75"/>
    <row r="910" s="84" customFormat="1" ht="12.75"/>
    <row r="911" s="84" customFormat="1" ht="12.75"/>
    <row r="912" s="84" customFormat="1" ht="12.75"/>
    <row r="913" s="84" customFormat="1" ht="12.75"/>
    <row r="914" s="84" customFormat="1" ht="12.75"/>
    <row r="915" s="84" customFormat="1" ht="12.75"/>
    <row r="916" s="84" customFormat="1" ht="12.75"/>
    <row r="917" s="84" customFormat="1" ht="12.75"/>
    <row r="918" s="84" customFormat="1" ht="12.75"/>
    <row r="919" s="84" customFormat="1" ht="12.75"/>
    <row r="920" s="84" customFormat="1" ht="12.75"/>
    <row r="921" s="84" customFormat="1" ht="12.75"/>
    <row r="922" s="84" customFormat="1" ht="12.75"/>
    <row r="923" s="84" customFormat="1" ht="12.75"/>
    <row r="924" s="84" customFormat="1" ht="12.75"/>
    <row r="925" s="84" customFormat="1" ht="12.75"/>
    <row r="926" s="84" customFormat="1" ht="12.75"/>
    <row r="927" s="84" customFormat="1" ht="12.75"/>
    <row r="928" s="84" customFormat="1" ht="12.75"/>
    <row r="929" s="84" customFormat="1" ht="12.75"/>
    <row r="930" s="84" customFormat="1" ht="12.75"/>
    <row r="931" s="84" customFormat="1" ht="12.75"/>
    <row r="932" s="84" customFormat="1" ht="12.75"/>
    <row r="933" s="84" customFormat="1" ht="12.75"/>
    <row r="934" s="84" customFormat="1" ht="12.75"/>
    <row r="935" s="84" customFormat="1" ht="12.75"/>
    <row r="936" s="84" customFormat="1" ht="12.75"/>
    <row r="937" s="84" customFormat="1" ht="12.75"/>
    <row r="938" s="84" customFormat="1" ht="12.75"/>
    <row r="939" s="84" customFormat="1" ht="12.75"/>
    <row r="940" s="84" customFormat="1" ht="12.75"/>
    <row r="941" s="84" customFormat="1" ht="12.75"/>
    <row r="942" s="84" customFormat="1" ht="12.75"/>
    <row r="943" s="84" customFormat="1" ht="12.75"/>
    <row r="944" s="84" customFormat="1" ht="12.75"/>
    <row r="945" s="84" customFormat="1" ht="12.75"/>
    <row r="946" s="84" customFormat="1" ht="12.75"/>
    <row r="947" s="84" customFormat="1" ht="12.75"/>
    <row r="948" s="84" customFormat="1" ht="12.75"/>
    <row r="949" s="84" customFormat="1" ht="12.75"/>
    <row r="950" s="84" customFormat="1" ht="12.75"/>
    <row r="951" s="84" customFormat="1" ht="12.75"/>
    <row r="952" s="84" customFormat="1" ht="12.75"/>
    <row r="953" s="84" customFormat="1" ht="12.75"/>
    <row r="954" s="84" customFormat="1" ht="12.75"/>
    <row r="955" s="84" customFormat="1" ht="12.75"/>
    <row r="956" s="84" customFormat="1" ht="12.75"/>
    <row r="957" s="84" customFormat="1" ht="12.75"/>
    <row r="958" s="84" customFormat="1" ht="12.75"/>
    <row r="959" s="84" customFormat="1" ht="12.75"/>
    <row r="960" s="84" customFormat="1" ht="12.75"/>
    <row r="961" s="84" customFormat="1" ht="12.75"/>
    <row r="962" s="84" customFormat="1" ht="12.75"/>
    <row r="963" s="84" customFormat="1" ht="12.75"/>
    <row r="964" s="84" customFormat="1" ht="12.75"/>
    <row r="965" s="84" customFormat="1" ht="12.75"/>
    <row r="966" s="84" customFormat="1" ht="12.75"/>
    <row r="967" s="84" customFormat="1" ht="12.75"/>
    <row r="968" s="84" customFormat="1" ht="12.75"/>
    <row r="969" s="84" customFormat="1" ht="12.75"/>
    <row r="970" s="84" customFormat="1" ht="12.75"/>
    <row r="971" s="84" customFormat="1" ht="12.75"/>
    <row r="972" s="84" customFormat="1" ht="12.75"/>
    <row r="973" s="84" customFormat="1" ht="12.75"/>
    <row r="974" s="84" customFormat="1" ht="12.75"/>
    <row r="975" s="84" customFormat="1" ht="12.75"/>
    <row r="976" s="84" customFormat="1" ht="12.75"/>
    <row r="977" s="84" customFormat="1" ht="12.75"/>
    <row r="978" s="84" customFormat="1" ht="12.75"/>
    <row r="979" s="84" customFormat="1" ht="12.75"/>
    <row r="980" s="84" customFormat="1" ht="12.75"/>
    <row r="981" s="84" customFormat="1" ht="12.75"/>
    <row r="982" s="84" customFormat="1" ht="12.75"/>
    <row r="983" s="84" customFormat="1" ht="12.75"/>
    <row r="984" s="84" customFormat="1" ht="12.75"/>
    <row r="985" s="84" customFormat="1" ht="12.75"/>
    <row r="986" s="84" customFormat="1" ht="12.75"/>
    <row r="987" s="84" customFormat="1" ht="12.75"/>
    <row r="988" s="84" customFormat="1" ht="12.75"/>
    <row r="989" s="84" customFormat="1" ht="12.75"/>
    <row r="990" s="84" customFormat="1" ht="12.75"/>
    <row r="991" s="84" customFormat="1" ht="12.75"/>
    <row r="992" s="84" customFormat="1" ht="12.75"/>
    <row r="993" s="84" customFormat="1" ht="12.75"/>
    <row r="994" s="84" customFormat="1" ht="12.75"/>
    <row r="995" s="84" customFormat="1" ht="12.75"/>
    <row r="996" s="84" customFormat="1" ht="12.75"/>
    <row r="997" s="84" customFormat="1" ht="12.75"/>
    <row r="998" s="84" customFormat="1" ht="12.75"/>
    <row r="999" s="84" customFormat="1" ht="12.75"/>
    <row r="1000" s="84" customFormat="1" ht="12.75"/>
    <row r="1001" s="84" customFormat="1" ht="12.75"/>
    <row r="1002" s="84" customFormat="1" ht="12.75"/>
    <row r="1003" s="84" customFormat="1" ht="12.75"/>
    <row r="1004" s="84" customFormat="1" ht="12.75"/>
    <row r="1005" s="84" customFormat="1" ht="12.75"/>
    <row r="1006" s="84" customFormat="1" ht="12.75"/>
    <row r="1007" s="84" customFormat="1" ht="12.75"/>
    <row r="1008" s="84" customFormat="1" ht="12.75"/>
    <row r="1009" s="84" customFormat="1" ht="12.75"/>
    <row r="1010" s="84" customFormat="1" ht="12.75"/>
    <row r="1011" s="84" customFormat="1" ht="12.75"/>
    <row r="1012" s="84" customFormat="1" ht="12.75"/>
    <row r="1013" s="84" customFormat="1" ht="12.75"/>
    <row r="1014" s="84" customFormat="1" ht="12.75"/>
    <row r="1015" s="84" customFormat="1" ht="12.75"/>
    <row r="1016" s="84" customFormat="1" ht="12.75"/>
    <row r="1017" s="84" customFormat="1" ht="12.75"/>
    <row r="1018" s="84" customFormat="1" ht="12.75"/>
    <row r="1019" s="84" customFormat="1" ht="12.75"/>
    <row r="1020" s="84" customFormat="1" ht="12.75"/>
    <row r="1021" s="84" customFormat="1" ht="12.75"/>
    <row r="1022" s="84" customFormat="1" ht="12.75"/>
    <row r="1023" s="84" customFormat="1" ht="12.75"/>
    <row r="1024" s="84" customFormat="1" ht="12.75"/>
    <row r="1025" s="84" customFormat="1" ht="12.75"/>
    <row r="1026" s="84" customFormat="1" ht="12.75"/>
    <row r="1027" s="84" customFormat="1" ht="12.75"/>
    <row r="1028" s="84" customFormat="1" ht="12.75"/>
    <row r="1029" s="84" customFormat="1" ht="12.75"/>
    <row r="1030" s="84" customFormat="1" ht="12.75"/>
    <row r="1031" s="84" customFormat="1" ht="12.75"/>
    <row r="1032" s="84" customFormat="1" ht="12.75"/>
    <row r="1033" s="84" customFormat="1" ht="12.75"/>
    <row r="1034" s="84" customFormat="1" ht="12.75"/>
    <row r="1035" s="84" customFormat="1" ht="12.75"/>
    <row r="1036" s="84" customFormat="1" ht="12.75"/>
    <row r="1037" s="84" customFormat="1" ht="12.75"/>
    <row r="1038" s="84" customFormat="1" ht="12.75"/>
    <row r="1039" s="84" customFormat="1" ht="12.75"/>
    <row r="1040" s="84" customFormat="1" ht="12.75"/>
    <row r="1041" s="84" customFormat="1" ht="12.75"/>
    <row r="1042" s="84" customFormat="1" ht="12.75"/>
    <row r="1043" s="84" customFormat="1" ht="12.75"/>
    <row r="1044" s="84" customFormat="1" ht="12.75"/>
    <row r="1045" s="84" customFormat="1" ht="12.75"/>
    <row r="1046" s="84" customFormat="1" ht="12.75"/>
    <row r="1047" s="84" customFormat="1" ht="12.75"/>
    <row r="1048" s="84" customFormat="1" ht="12.75"/>
    <row r="1049" s="84" customFormat="1" ht="12.75"/>
    <row r="1050" s="84" customFormat="1" ht="12.75"/>
    <row r="1051" s="84" customFormat="1" ht="12.75"/>
    <row r="1052" s="84" customFormat="1" ht="12.75"/>
    <row r="1053" s="84" customFormat="1" ht="12.75"/>
    <row r="1054" s="84" customFormat="1" ht="12.75"/>
    <row r="1055" s="84" customFormat="1" ht="12.75"/>
    <row r="1056" s="84" customFormat="1" ht="12.75"/>
    <row r="1057" s="84" customFormat="1" ht="12.75"/>
    <row r="1058" s="84" customFormat="1" ht="12.75"/>
    <row r="1059" s="84" customFormat="1" ht="12.75"/>
    <row r="1060" s="84" customFormat="1" ht="12.75"/>
    <row r="1061" s="84" customFormat="1" ht="12.75"/>
    <row r="1062" s="84" customFormat="1" ht="12.75"/>
    <row r="1063" s="84" customFormat="1" ht="12.75"/>
    <row r="1064" s="84" customFormat="1" ht="12.75"/>
    <row r="1065" s="84" customFormat="1" ht="12.75"/>
    <row r="1066" s="84" customFormat="1" ht="12.75"/>
    <row r="1067" s="84" customFormat="1" ht="12.75"/>
    <row r="1068" s="84" customFormat="1" ht="12.75"/>
    <row r="1069" s="84" customFormat="1" ht="12.75"/>
    <row r="1070" s="84" customFormat="1" ht="12.75"/>
    <row r="1071" s="84" customFormat="1" ht="12.75"/>
    <row r="1072" s="84" customFormat="1" ht="12.75"/>
    <row r="1073" s="84" customFormat="1" ht="12.75"/>
    <row r="1074" s="84" customFormat="1" ht="12.75"/>
    <row r="1075" s="84" customFormat="1" ht="12.75"/>
    <row r="1076" s="84" customFormat="1" ht="12.75"/>
    <row r="1077" s="84" customFormat="1" ht="12.75"/>
    <row r="1078" s="84" customFormat="1" ht="12.75"/>
    <row r="1079" s="84" customFormat="1" ht="12.75"/>
    <row r="1080" s="84" customFormat="1" ht="12.75"/>
    <row r="1081" s="84" customFormat="1" ht="12.75"/>
    <row r="1082" s="84" customFormat="1" ht="12.75"/>
    <row r="1083" s="84" customFormat="1" ht="12.75"/>
    <row r="1084" s="84" customFormat="1" ht="12.75"/>
    <row r="1085" s="84" customFormat="1" ht="12.75"/>
    <row r="1086" s="84" customFormat="1" ht="12.75"/>
    <row r="1087" s="84" customFormat="1" ht="12.75"/>
    <row r="1088" s="84" customFormat="1" ht="12.75"/>
    <row r="1089" s="84" customFormat="1" ht="12.75"/>
    <row r="1090" s="84" customFormat="1" ht="12.75"/>
    <row r="1091" s="84" customFormat="1" ht="12.75"/>
    <row r="1092" s="84" customFormat="1" ht="12.75"/>
    <row r="1093" s="84" customFormat="1" ht="12.75"/>
    <row r="1094" s="84" customFormat="1" ht="12.75"/>
    <row r="1095" s="84" customFormat="1" ht="12.75"/>
    <row r="1096" s="84" customFormat="1" ht="12.75"/>
    <row r="1097" s="84" customFormat="1" ht="12.75"/>
    <row r="1098" s="84" customFormat="1" ht="12.75"/>
    <row r="1099" s="84" customFormat="1" ht="12.75"/>
    <row r="1100" s="84" customFormat="1" ht="12.75"/>
    <row r="1101" s="84" customFormat="1" ht="12.75"/>
    <row r="1102" s="84" customFormat="1" ht="12.75"/>
    <row r="1103" s="84" customFormat="1" ht="12.75"/>
    <row r="1104" s="84" customFormat="1" ht="12.75"/>
    <row r="1105" s="84" customFormat="1" ht="12.75"/>
    <row r="1106" s="84" customFormat="1" ht="12.75"/>
    <row r="1107" s="84" customFormat="1" ht="12.75"/>
    <row r="1108" s="84" customFormat="1" ht="12.75"/>
    <row r="1109" s="84" customFormat="1" ht="12.75"/>
    <row r="1110" s="84" customFormat="1" ht="12.75"/>
    <row r="1111" s="84" customFormat="1" ht="12.75"/>
    <row r="1112" s="84" customFormat="1" ht="12.75"/>
    <row r="1113" s="84" customFormat="1" ht="12.75"/>
    <row r="1114" s="84" customFormat="1" ht="12.75"/>
    <row r="1115" s="84" customFormat="1" ht="12.75"/>
    <row r="1116" s="84" customFormat="1" ht="12.75"/>
    <row r="1117" s="84" customFormat="1" ht="12.75"/>
    <row r="1118" s="84" customFormat="1" ht="12.75"/>
    <row r="1119" s="84" customFormat="1" ht="12.75"/>
    <row r="1120" s="84" customFormat="1" ht="12.75"/>
    <row r="1121" s="84" customFormat="1" ht="12.75"/>
    <row r="1122" s="84" customFormat="1" ht="12.75"/>
    <row r="1123" s="84" customFormat="1" ht="12.75"/>
    <row r="1124" s="84" customFormat="1" ht="12.75"/>
    <row r="1125" s="84" customFormat="1" ht="12.75"/>
    <row r="1126" s="84" customFormat="1" ht="12.75"/>
    <row r="1127" s="84" customFormat="1" ht="12.75"/>
    <row r="1128" s="84" customFormat="1" ht="12.75"/>
    <row r="1129" s="84" customFormat="1" ht="12.75"/>
    <row r="1130" s="84" customFormat="1" ht="12.75"/>
    <row r="1131" s="84" customFormat="1" ht="12.75"/>
    <row r="1132" s="84" customFormat="1" ht="12.75"/>
    <row r="1133" s="84" customFormat="1" ht="12.75"/>
    <row r="1134" s="84" customFormat="1" ht="12.75"/>
    <row r="1135" s="84" customFormat="1" ht="12.75"/>
    <row r="1136" s="84" customFormat="1" ht="12.75"/>
    <row r="1137" s="84" customFormat="1" ht="12.75"/>
    <row r="1138" s="84" customFormat="1" ht="12.75"/>
    <row r="1139" s="84" customFormat="1" ht="12.75"/>
    <row r="1140" s="84" customFormat="1" ht="12.75"/>
    <row r="1141" s="84" customFormat="1" ht="12.75"/>
    <row r="1142" s="84" customFormat="1" ht="12.75"/>
    <row r="1143" s="84" customFormat="1" ht="12.75"/>
    <row r="1144" s="84" customFormat="1" ht="12.75"/>
    <row r="1145" s="84" customFormat="1" ht="12.75"/>
    <row r="1146" s="84" customFormat="1" ht="12.75"/>
    <row r="1147" s="84" customFormat="1" ht="12.75"/>
    <row r="1148" s="84" customFormat="1" ht="12.75"/>
    <row r="1149" s="84" customFormat="1" ht="12.75"/>
    <row r="1150" s="84" customFormat="1" ht="12.75"/>
    <row r="1151" s="84" customFormat="1" ht="12.75"/>
    <row r="1152" s="84" customFormat="1" ht="12.75"/>
    <row r="1153" s="84" customFormat="1" ht="12.75"/>
    <row r="1154" s="84" customFormat="1" ht="12.75"/>
    <row r="1155" s="84" customFormat="1" ht="12.75"/>
    <row r="1156" s="84" customFormat="1" ht="12.75"/>
    <row r="1157" s="84" customFormat="1" ht="12.75"/>
    <row r="1158" s="84" customFormat="1" ht="12.75"/>
    <row r="1159" s="84" customFormat="1" ht="12.75"/>
    <row r="1160" s="84" customFormat="1" ht="12.75"/>
    <row r="1161" s="84" customFormat="1" ht="12.75"/>
    <row r="1162" s="84" customFormat="1" ht="12.75"/>
    <row r="1163" s="84" customFormat="1" ht="12.75"/>
    <row r="1164" s="84" customFormat="1" ht="12.75"/>
    <row r="1165" s="84" customFormat="1" ht="12.75"/>
    <row r="1166" s="84" customFormat="1" ht="12.75"/>
    <row r="1167" s="84" customFormat="1" ht="12.75"/>
    <row r="1168" s="84" customFormat="1" ht="12.75"/>
    <row r="1169" s="84" customFormat="1" ht="12.75"/>
    <row r="1170" s="84" customFormat="1" ht="12.75"/>
    <row r="1171" s="84" customFormat="1" ht="12.75"/>
    <row r="1172" s="84" customFormat="1" ht="12.75"/>
    <row r="1173" s="84" customFormat="1" ht="12.75"/>
    <row r="1174" s="84" customFormat="1" ht="12.75"/>
    <row r="1175" s="84" customFormat="1" ht="12.75"/>
    <row r="1176" s="84" customFormat="1" ht="12.75"/>
    <row r="1177" s="84" customFormat="1" ht="12.75"/>
    <row r="1178" s="84" customFormat="1" ht="12.75"/>
    <row r="1179" s="84" customFormat="1" ht="12.75"/>
    <row r="1180" s="84" customFormat="1" ht="12.75"/>
    <row r="1181" s="84" customFormat="1" ht="12.75"/>
    <row r="1182" s="84" customFormat="1" ht="12.75"/>
    <row r="1183" s="84" customFormat="1" ht="12.75"/>
    <row r="1184" s="84" customFormat="1" ht="12.75"/>
    <row r="1185" s="84" customFormat="1" ht="12.75"/>
    <row r="1186" s="84" customFormat="1" ht="12.75"/>
    <row r="1187" s="84" customFormat="1" ht="12.75"/>
    <row r="1188" s="84" customFormat="1" ht="12.75"/>
    <row r="1189" s="84" customFormat="1" ht="12.75"/>
    <row r="1190" s="84" customFormat="1" ht="12.75"/>
    <row r="1191" s="84" customFormat="1" ht="12.75"/>
    <row r="1192" s="84" customFormat="1" ht="12.75"/>
    <row r="1193" s="84" customFormat="1" ht="12.75"/>
    <row r="1194" s="84" customFormat="1" ht="12.75"/>
    <row r="1195" s="84" customFormat="1" ht="12.75"/>
    <row r="1196" s="84" customFormat="1" ht="12.75"/>
    <row r="1197" s="84" customFormat="1" ht="12.75"/>
    <row r="1198" s="84" customFormat="1" ht="12.75"/>
    <row r="1199" s="84" customFormat="1" ht="12.75"/>
    <row r="1200" s="84" customFormat="1" ht="12.75"/>
    <row r="1201" s="84" customFormat="1" ht="12.75"/>
    <row r="1202" s="84" customFormat="1" ht="12.75"/>
    <row r="1203" s="84" customFormat="1" ht="12.75"/>
    <row r="1204" s="84" customFormat="1" ht="12.75"/>
    <row r="1205" s="84" customFormat="1" ht="12.75"/>
    <row r="1206" s="84" customFormat="1" ht="12.75"/>
    <row r="1207" s="84" customFormat="1" ht="12.75"/>
    <row r="1208" s="84" customFormat="1" ht="12.75"/>
    <row r="1209" s="84" customFormat="1" ht="12.75"/>
    <row r="1210" s="84" customFormat="1" ht="12.75"/>
    <row r="1211" s="84" customFormat="1" ht="12.75"/>
    <row r="1212" s="84" customFormat="1" ht="12.75"/>
    <row r="1213" s="84" customFormat="1" ht="12.75"/>
    <row r="1214" s="84" customFormat="1" ht="12.75"/>
    <row r="1215" s="84" customFormat="1" ht="12.75"/>
    <row r="1216" s="84" customFormat="1" ht="12.75"/>
    <row r="1217" s="84" customFormat="1" ht="12.75"/>
    <row r="1218" s="84" customFormat="1" ht="12.75"/>
    <row r="1219" s="84" customFormat="1" ht="12.75"/>
    <row r="1220" s="84" customFormat="1" ht="12.75"/>
    <row r="1221" s="84" customFormat="1" ht="12.75"/>
    <row r="1222" s="84" customFormat="1" ht="12.75"/>
    <row r="1223" s="84" customFormat="1" ht="12.75"/>
    <row r="1224" s="84" customFormat="1" ht="12.75"/>
    <row r="1225" s="84" customFormat="1" ht="12.75"/>
    <row r="1226" s="84" customFormat="1" ht="12.75"/>
    <row r="1227" s="84" customFormat="1" ht="12.75"/>
    <row r="1228" s="84" customFormat="1" ht="12.75"/>
    <row r="1229" s="84" customFormat="1" ht="12.75"/>
    <row r="1230" s="84" customFormat="1" ht="12.75"/>
    <row r="1231" s="84" customFormat="1" ht="12.75"/>
    <row r="1232" s="84" customFormat="1" ht="12.75"/>
    <row r="1233" s="84" customFormat="1" ht="12.75"/>
    <row r="1234" s="84" customFormat="1" ht="12.75"/>
    <row r="1235" s="84" customFormat="1" ht="12.75"/>
    <row r="1236" s="84" customFormat="1" ht="12.75"/>
    <row r="1237" s="84" customFormat="1" ht="12.75"/>
    <row r="1238" s="84" customFormat="1" ht="12.75"/>
    <row r="1239" s="84" customFormat="1" ht="12.75"/>
    <row r="1240" s="84" customFormat="1" ht="12.75"/>
    <row r="1241" s="84" customFormat="1" ht="12.75"/>
    <row r="1242" s="84" customFormat="1" ht="12.75"/>
    <row r="1243" s="84" customFormat="1" ht="12.75"/>
    <row r="1244" s="84" customFormat="1" ht="12.75"/>
    <row r="1245" s="84" customFormat="1" ht="12.75"/>
    <row r="1246" s="84" customFormat="1" ht="12.75"/>
    <row r="1247" s="84" customFormat="1" ht="12.75"/>
    <row r="1248" s="84" customFormat="1" ht="12.75"/>
    <row r="1249" s="84" customFormat="1" ht="12.75"/>
    <row r="1250" s="84" customFormat="1" ht="12.75"/>
    <row r="1251" s="84" customFormat="1" ht="12.75"/>
    <row r="1252" s="84" customFormat="1" ht="12.75"/>
    <row r="1253" s="84" customFormat="1" ht="12.75"/>
    <row r="1254" s="84" customFormat="1" ht="12.75"/>
    <row r="1255" s="84" customFormat="1" ht="12.75"/>
    <row r="1256" s="84" customFormat="1" ht="12.75"/>
    <row r="1257" s="84" customFormat="1" ht="12.75"/>
    <row r="1258" s="84" customFormat="1" ht="12.75"/>
    <row r="1259" s="84" customFormat="1" ht="12.75"/>
    <row r="1260" s="84" customFormat="1" ht="12.75"/>
    <row r="1261" s="84" customFormat="1" ht="12.75"/>
    <row r="1262" s="84" customFormat="1" ht="12.75"/>
    <row r="1263" s="84" customFormat="1" ht="12.75"/>
    <row r="1264" s="84" customFormat="1" ht="12.75"/>
    <row r="1265" s="84" customFormat="1" ht="12.75"/>
    <row r="1266" s="84" customFormat="1" ht="12.75"/>
    <row r="1267" s="84" customFormat="1" ht="12.75"/>
    <row r="1268" s="84" customFormat="1" ht="12.75"/>
    <row r="1269" s="84" customFormat="1" ht="12.75"/>
    <row r="1270" s="84" customFormat="1" ht="12.75"/>
    <row r="1271" s="84" customFormat="1" ht="12.75"/>
    <row r="1272" s="84" customFormat="1" ht="12.75"/>
    <row r="1273" s="84" customFormat="1" ht="12.75"/>
    <row r="1274" s="84" customFormat="1" ht="12.75"/>
    <row r="1275" s="84" customFormat="1" ht="12.75"/>
    <row r="1276" s="84" customFormat="1" ht="12.75"/>
    <row r="1277" s="84" customFormat="1" ht="12.75"/>
    <row r="1278" s="84" customFormat="1" ht="12.75"/>
    <row r="1279" s="84" customFormat="1" ht="12.75"/>
    <row r="1280" s="84" customFormat="1" ht="12.75"/>
    <row r="1281" s="84" customFormat="1" ht="12.75"/>
    <row r="1282" s="84" customFormat="1" ht="12.75"/>
    <row r="1283" s="84" customFormat="1" ht="12.75"/>
    <row r="1284" s="84" customFormat="1" ht="12.75"/>
    <row r="1285" s="84" customFormat="1" ht="12.75"/>
    <row r="1286" s="84" customFormat="1" ht="12.75"/>
    <row r="1287" s="84" customFormat="1" ht="12.75"/>
    <row r="1288" s="84" customFormat="1" ht="12.75"/>
    <row r="1289" s="84" customFormat="1" ht="12.75"/>
    <row r="1290" s="84" customFormat="1" ht="12.75"/>
    <row r="1291" s="84" customFormat="1" ht="12.75"/>
    <row r="1292" s="84" customFormat="1" ht="12.75"/>
    <row r="1293" s="84" customFormat="1" ht="12.75"/>
    <row r="1294" s="84" customFormat="1" ht="12.75"/>
    <row r="1295" s="84" customFormat="1" ht="12.75"/>
    <row r="1296" s="84" customFormat="1" ht="12.75"/>
    <row r="1297" s="84" customFormat="1" ht="12.75"/>
    <row r="1298" s="84" customFormat="1" ht="12.75"/>
    <row r="1299" s="84" customFormat="1" ht="12.75"/>
    <row r="1300" s="84" customFormat="1" ht="12.75"/>
    <row r="1301" s="84" customFormat="1" ht="12.75"/>
    <row r="1302" s="84" customFormat="1" ht="12.75"/>
    <row r="1303" s="84" customFormat="1" ht="12.75"/>
    <row r="1304" s="84" customFormat="1" ht="12.75"/>
    <row r="1305" s="84" customFormat="1" ht="12.75"/>
    <row r="1306" s="84" customFormat="1" ht="12.75"/>
    <row r="1307" s="84" customFormat="1" ht="12.75"/>
    <row r="1308" s="84" customFormat="1" ht="12.75"/>
    <row r="1309" s="84" customFormat="1" ht="12.75"/>
    <row r="1310" s="84" customFormat="1" ht="12.75"/>
    <row r="1311" s="84" customFormat="1" ht="12.75"/>
    <row r="1312" s="84" customFormat="1" ht="12.75"/>
    <row r="1313" s="84" customFormat="1" ht="12.75"/>
    <row r="1314" s="84" customFormat="1" ht="12.75"/>
    <row r="1315" s="84" customFormat="1" ht="12.75"/>
    <row r="1316" s="84" customFormat="1" ht="12.75"/>
    <row r="1317" s="84" customFormat="1" ht="12.75"/>
    <row r="1318" s="84" customFormat="1" ht="12.75"/>
    <row r="1319" s="84" customFormat="1" ht="12.75"/>
    <row r="1320" s="84" customFormat="1" ht="12.75"/>
    <row r="1321" s="84" customFormat="1" ht="12.75"/>
    <row r="1322" s="84" customFormat="1" ht="12.75"/>
    <row r="1323" s="84" customFormat="1" ht="12.75"/>
    <row r="1324" s="84" customFormat="1" ht="12.75"/>
    <row r="1325" s="84" customFormat="1" ht="12.75"/>
    <row r="1326" s="84" customFormat="1" ht="12.75"/>
    <row r="1327" s="84" customFormat="1" ht="12.75"/>
    <row r="1328" s="84" customFormat="1" ht="12.75"/>
    <row r="1329" s="84" customFormat="1" ht="12.75"/>
    <row r="1330" s="84" customFormat="1" ht="12.75"/>
    <row r="1331" s="84" customFormat="1" ht="12.75"/>
    <row r="1332" s="84" customFormat="1" ht="12.75"/>
    <row r="1333" s="84" customFormat="1" ht="12.75"/>
    <row r="1334" s="84" customFormat="1" ht="12.75"/>
    <row r="1335" s="84" customFormat="1" ht="12.75"/>
    <row r="1336" s="84" customFormat="1" ht="12.75"/>
    <row r="1337" s="84" customFormat="1" ht="12.75"/>
    <row r="1338" s="84" customFormat="1" ht="12.75"/>
    <row r="1339" s="84" customFormat="1" ht="12.75"/>
    <row r="1340" s="84" customFormat="1" ht="12.75"/>
    <row r="1341" s="84" customFormat="1" ht="12.75"/>
    <row r="1342" s="84" customFormat="1" ht="12.75"/>
    <row r="1343" s="84" customFormat="1" ht="12.75"/>
    <row r="1344" s="84" customFormat="1" ht="12.75"/>
    <row r="1345" s="84" customFormat="1" ht="12.75"/>
    <row r="1346" s="84" customFormat="1" ht="12.75"/>
    <row r="1347" s="84" customFormat="1" ht="12.75"/>
    <row r="1348" s="84" customFormat="1" ht="12.75"/>
    <row r="1349" s="84" customFormat="1" ht="12.75"/>
    <row r="1350" s="84" customFormat="1" ht="12.75"/>
    <row r="1351" s="84" customFormat="1" ht="12.75"/>
    <row r="1352" s="84" customFormat="1" ht="12.75"/>
    <row r="1353" s="84" customFormat="1" ht="12.75"/>
    <row r="1354" s="84" customFormat="1" ht="12.75"/>
    <row r="1355" s="84" customFormat="1" ht="12.75"/>
    <row r="1356" s="84" customFormat="1" ht="12.75"/>
    <row r="1357" s="84" customFormat="1" ht="12.75"/>
    <row r="1358" s="84" customFormat="1" ht="12.75"/>
    <row r="1359" s="84" customFormat="1" ht="12.75"/>
    <row r="1360" s="84" customFormat="1" ht="12.75"/>
    <row r="1361" s="84" customFormat="1" ht="12.75"/>
    <row r="1362" s="84" customFormat="1" ht="12.75"/>
    <row r="1363" s="84" customFormat="1" ht="12.75"/>
    <row r="1364" s="84" customFormat="1" ht="12.75"/>
    <row r="1365" s="84" customFormat="1" ht="12.75"/>
    <row r="1366" s="84" customFormat="1" ht="12.75"/>
    <row r="1367" s="84" customFormat="1" ht="12.75"/>
    <row r="1368" s="84" customFormat="1" ht="12.75"/>
    <row r="1369" s="84" customFormat="1" ht="12.75"/>
    <row r="1370" s="84" customFormat="1" ht="12.75"/>
    <row r="1371" s="84" customFormat="1" ht="12.75"/>
    <row r="1372" s="84" customFormat="1" ht="12.75"/>
    <row r="1373" s="84" customFormat="1" ht="12.75"/>
    <row r="1374" s="84" customFormat="1" ht="12.75"/>
    <row r="1375" s="84" customFormat="1" ht="12.75"/>
    <row r="1376" s="84" customFormat="1" ht="12.75"/>
    <row r="1377" s="84" customFormat="1" ht="12.75"/>
    <row r="1378" s="84" customFormat="1" ht="12.75"/>
    <row r="1379" s="84" customFormat="1" ht="12.75"/>
    <row r="1380" s="84" customFormat="1" ht="12.75"/>
    <row r="1381" s="84" customFormat="1" ht="12.75"/>
    <row r="1382" s="84" customFormat="1" ht="12.75"/>
    <row r="1383" s="84" customFormat="1" ht="12.75"/>
    <row r="1384" s="84" customFormat="1" ht="12.75"/>
    <row r="1385" s="84" customFormat="1" ht="12.75"/>
    <row r="1386" s="84" customFormat="1" ht="12.75"/>
    <row r="1387" s="84" customFormat="1" ht="12.75"/>
    <row r="1388" s="84" customFormat="1" ht="12.75"/>
    <row r="1389" s="84" customFormat="1" ht="12.75"/>
    <row r="1390" s="84" customFormat="1" ht="12.75"/>
    <row r="1391" s="84" customFormat="1" ht="12.75"/>
    <row r="1392" s="84" customFormat="1" ht="12.75"/>
    <row r="1393" s="84" customFormat="1" ht="12.75"/>
    <row r="1394" s="84" customFormat="1" ht="12.75"/>
    <row r="1395" s="84" customFormat="1" ht="12.75"/>
    <row r="1396" s="84" customFormat="1" ht="12.75"/>
    <row r="1397" s="84" customFormat="1" ht="12.75"/>
    <row r="1398" s="84" customFormat="1" ht="12.75"/>
    <row r="1399" s="84" customFormat="1" ht="12.75"/>
    <row r="1400" s="84" customFormat="1" ht="12.75"/>
    <row r="1401" s="84" customFormat="1" ht="12.75"/>
    <row r="1402" s="84" customFormat="1" ht="12.75"/>
    <row r="1403" s="84" customFormat="1" ht="12.75"/>
    <row r="1404" s="84" customFormat="1" ht="12.75"/>
    <row r="1405" s="84" customFormat="1" ht="12.75"/>
    <row r="1406" s="84" customFormat="1" ht="12.75"/>
    <row r="1407" s="84" customFormat="1" ht="12.75"/>
    <row r="1408" s="84" customFormat="1" ht="12.75"/>
    <row r="1409" s="84" customFormat="1" ht="12.75"/>
    <row r="1410" s="84" customFormat="1" ht="12.75"/>
    <row r="1411" s="84" customFormat="1" ht="12.75"/>
    <row r="1412" s="84" customFormat="1" ht="12.75"/>
    <row r="1413" s="84" customFormat="1" ht="12.75"/>
    <row r="1414" s="84" customFormat="1" ht="12.75"/>
    <row r="1415" s="84" customFormat="1" ht="12.75"/>
    <row r="1416" s="84" customFormat="1" ht="12.75"/>
    <row r="1417" s="84" customFormat="1" ht="12.75"/>
    <row r="1418" s="84" customFormat="1" ht="12.75"/>
    <row r="1419" s="84" customFormat="1" ht="12.75"/>
    <row r="1420" s="84" customFormat="1" ht="12.75"/>
    <row r="1421" s="84" customFormat="1" ht="12.75"/>
    <row r="1422" s="84" customFormat="1" ht="12.75"/>
    <row r="1423" s="84" customFormat="1" ht="12.75"/>
    <row r="1424" s="84" customFormat="1" ht="12.75"/>
    <row r="1425" s="84" customFormat="1" ht="12.75"/>
    <row r="1426" s="84" customFormat="1" ht="12.75"/>
    <row r="1427" s="84" customFormat="1" ht="12.75"/>
    <row r="1428" s="84" customFormat="1" ht="12.75"/>
    <row r="1429" s="84" customFormat="1" ht="12.75"/>
    <row r="1430" s="84" customFormat="1" ht="12.75"/>
    <row r="1431" s="84" customFormat="1" ht="12.75"/>
    <row r="1432" s="84" customFormat="1" ht="12.75"/>
    <row r="1433" s="84" customFormat="1" ht="12.75"/>
    <row r="1434" s="84" customFormat="1" ht="12.75"/>
    <row r="1435" s="84" customFormat="1" ht="12.75"/>
    <row r="1436" s="84" customFormat="1" ht="12.75"/>
    <row r="1437" s="84" customFormat="1" ht="12.75"/>
    <row r="1438" s="84" customFormat="1" ht="12.75"/>
    <row r="1439" s="84" customFormat="1" ht="12.75"/>
    <row r="1440" s="84" customFormat="1" ht="12.75"/>
    <row r="1441" s="84" customFormat="1" ht="12.75"/>
    <row r="1442" s="84" customFormat="1" ht="12.75"/>
    <row r="1443" s="84" customFormat="1" ht="12.75"/>
    <row r="1444" s="84" customFormat="1" ht="12.75"/>
    <row r="1445" s="84" customFormat="1" ht="12.75"/>
    <row r="1446" s="84" customFormat="1" ht="12.75"/>
    <row r="1447" s="84" customFormat="1" ht="12.75"/>
    <row r="1448" s="84" customFormat="1" ht="12.75"/>
    <row r="1449" s="84" customFormat="1" ht="12.75"/>
    <row r="1450" s="84" customFormat="1" ht="12.75"/>
    <row r="1451" s="84" customFormat="1" ht="12.75"/>
    <row r="1452" s="84" customFormat="1" ht="12.75"/>
    <row r="1453" s="84" customFormat="1" ht="12.75"/>
    <row r="1454" s="84" customFormat="1" ht="12.75"/>
    <row r="1455" s="84" customFormat="1" ht="12.75"/>
    <row r="1456" s="84" customFormat="1" ht="12.75"/>
    <row r="1457" s="84" customFormat="1" ht="12.75"/>
    <row r="1458" s="84" customFormat="1" ht="12.75"/>
    <row r="1459" s="84" customFormat="1" ht="12.75"/>
    <row r="1460" s="84" customFormat="1" ht="12.75"/>
    <row r="1461" s="84" customFormat="1" ht="12.75"/>
    <row r="1462" s="84" customFormat="1" ht="12.75"/>
    <row r="1463" s="84" customFormat="1" ht="12.75"/>
    <row r="1464" s="84" customFormat="1" ht="12.75"/>
    <row r="1465" s="84" customFormat="1" ht="12.75"/>
    <row r="1466" s="84" customFormat="1" ht="12.75"/>
    <row r="1467" s="84" customFormat="1" ht="12.75"/>
    <row r="1468" s="84" customFormat="1" ht="12.75"/>
    <row r="1469" s="84" customFormat="1" ht="12.75"/>
    <row r="1470" s="84" customFormat="1" ht="12.75"/>
    <row r="1471" s="84" customFormat="1" ht="12.75"/>
    <row r="1472" s="84" customFormat="1" ht="12.75"/>
    <row r="1473" s="84" customFormat="1" ht="12.75"/>
    <row r="1474" s="84" customFormat="1" ht="12.75"/>
    <row r="1475" s="84" customFormat="1" ht="12.75"/>
    <row r="1476" s="84" customFormat="1" ht="12.75"/>
    <row r="1477" s="84" customFormat="1" ht="12.75"/>
    <row r="1478" s="84" customFormat="1" ht="12.75"/>
    <row r="1479" s="84" customFormat="1" ht="12.75"/>
    <row r="1480" s="84" customFormat="1" ht="12.75"/>
    <row r="1481" s="84" customFormat="1" ht="12.75"/>
    <row r="1482" s="84" customFormat="1" ht="12.75"/>
    <row r="1483" s="84" customFormat="1" ht="12.75"/>
    <row r="1484" s="84" customFormat="1" ht="12.75"/>
    <row r="1485" s="84" customFormat="1" ht="12.75"/>
    <row r="1486" s="84" customFormat="1" ht="12.75"/>
    <row r="1487" s="84" customFormat="1" ht="12.75"/>
    <row r="1488" s="84" customFormat="1" ht="12.75"/>
    <row r="1489" s="84" customFormat="1" ht="12.75"/>
    <row r="1490" s="84" customFormat="1" ht="12.75"/>
    <row r="1491" s="84" customFormat="1" ht="12.75"/>
    <row r="1492" s="84" customFormat="1" ht="12.75"/>
    <row r="1493" s="84" customFormat="1" ht="12.75"/>
    <row r="1494" s="84" customFormat="1" ht="12.75"/>
    <row r="1495" s="84" customFormat="1" ht="12.75"/>
    <row r="1496" s="84" customFormat="1" ht="12.75"/>
    <row r="1497" s="84" customFormat="1" ht="12.75"/>
    <row r="1498" s="84" customFormat="1" ht="12.75"/>
    <row r="1499" s="84" customFormat="1" ht="12.75"/>
    <row r="1500" s="84" customFormat="1" ht="12.75"/>
    <row r="1501" s="84" customFormat="1" ht="12.75"/>
    <row r="1502" s="84" customFormat="1" ht="12.75"/>
    <row r="1503" s="84" customFormat="1" ht="12.75"/>
    <row r="1504" s="84" customFormat="1" ht="12.75"/>
    <row r="1505" s="84" customFormat="1" ht="12.75"/>
    <row r="1506" s="84" customFormat="1" ht="12.75"/>
    <row r="1507" s="84" customFormat="1" ht="12.75"/>
    <row r="1508" s="84" customFormat="1" ht="12.75"/>
    <row r="1509" s="84" customFormat="1" ht="12.75"/>
    <row r="1510" s="84" customFormat="1" ht="12.75"/>
    <row r="1511" s="84" customFormat="1" ht="12.75"/>
    <row r="1512" s="84" customFormat="1" ht="12.75"/>
    <row r="1513" s="84" customFormat="1" ht="12.75"/>
    <row r="1514" s="84" customFormat="1" ht="12.75"/>
    <row r="1515" s="84" customFormat="1" ht="12.75"/>
    <row r="1516" s="84" customFormat="1" ht="12.75"/>
    <row r="1517" s="84" customFormat="1" ht="12.75"/>
    <row r="1518" s="84" customFormat="1" ht="12.75"/>
    <row r="1519" s="84" customFormat="1" ht="12.75"/>
    <row r="1520" s="84" customFormat="1" ht="12.75"/>
    <row r="1521" s="84" customFormat="1" ht="12.75"/>
    <row r="1522" s="84" customFormat="1" ht="12.75"/>
    <row r="1523" s="84" customFormat="1" ht="12.75"/>
    <row r="1524" s="84" customFormat="1" ht="12.75"/>
    <row r="1525" s="84" customFormat="1" ht="12.75"/>
    <row r="1526" s="84" customFormat="1" ht="12.75"/>
    <row r="1527" s="84" customFormat="1" ht="12.75"/>
    <row r="1528" s="84" customFormat="1" ht="12.75"/>
    <row r="1529" s="84" customFormat="1" ht="12.75"/>
    <row r="1530" s="84" customFormat="1" ht="12.75"/>
    <row r="1531" s="84" customFormat="1" ht="12.75"/>
    <row r="1532" s="84" customFormat="1" ht="12.75"/>
    <row r="1533" s="84" customFormat="1" ht="12.75"/>
    <row r="1534" s="84" customFormat="1" ht="12.75"/>
    <row r="1535" s="84" customFormat="1" ht="12.75"/>
    <row r="1536" s="84" customFormat="1" ht="12.75"/>
    <row r="1537" s="84" customFormat="1" ht="12.75"/>
    <row r="1538" s="84" customFormat="1" ht="12.75"/>
    <row r="1539" s="84" customFormat="1" ht="12.75"/>
    <row r="1540" s="84" customFormat="1" ht="12.75"/>
    <row r="1541" s="84" customFormat="1" ht="12.75"/>
    <row r="1542" s="84" customFormat="1" ht="12.75"/>
    <row r="1543" s="84" customFormat="1" ht="12.75"/>
    <row r="1544" s="84" customFormat="1" ht="12.75"/>
    <row r="1545" s="84" customFormat="1" ht="12.75"/>
    <row r="1546" s="84" customFormat="1" ht="12.75"/>
    <row r="1547" s="84" customFormat="1" ht="12.75"/>
    <row r="1548" s="84" customFormat="1" ht="12.75"/>
    <row r="1549" s="84" customFormat="1" ht="12.75"/>
    <row r="1550" s="84" customFormat="1" ht="12.75"/>
    <row r="1551" s="84" customFormat="1" ht="12.75"/>
    <row r="1552" s="84" customFormat="1" ht="12.75"/>
    <row r="1553" s="84" customFormat="1" ht="12.75"/>
    <row r="1554" s="84" customFormat="1" ht="12.75"/>
    <row r="1555" s="84" customFormat="1" ht="12.75"/>
    <row r="1556" s="84" customFormat="1" ht="12.75"/>
    <row r="1557" s="84" customFormat="1" ht="12.75"/>
    <row r="1558" s="84" customFormat="1" ht="12.75"/>
    <row r="1559" s="84" customFormat="1" ht="12.75"/>
    <row r="1560" s="84" customFormat="1" ht="12.75"/>
    <row r="1561" s="84" customFormat="1" ht="12.75"/>
    <row r="1562" s="84" customFormat="1" ht="12.75"/>
    <row r="1563" s="84" customFormat="1" ht="12.75"/>
    <row r="1564" s="84" customFormat="1" ht="12.75"/>
    <row r="1565" s="84" customFormat="1" ht="12.75"/>
    <row r="1566" s="84" customFormat="1" ht="12.75"/>
    <row r="1567" s="84" customFormat="1" ht="12.75"/>
    <row r="1568" s="84" customFormat="1" ht="12.75"/>
    <row r="1569" s="84" customFormat="1" ht="12.75"/>
    <row r="1570" s="84" customFormat="1" ht="12.75"/>
    <row r="1571" s="84" customFormat="1" ht="12.75"/>
    <row r="1572" s="84" customFormat="1" ht="12.75"/>
    <row r="1573" s="84" customFormat="1" ht="12.75"/>
    <row r="1574" s="84" customFormat="1" ht="12.75"/>
    <row r="1575" s="84" customFormat="1" ht="12.75"/>
    <row r="1576" s="84" customFormat="1" ht="12.75"/>
    <row r="1577" s="84" customFormat="1" ht="12.75"/>
    <row r="1578" s="84" customFormat="1" ht="12.75"/>
    <row r="1579" s="84" customFormat="1" ht="12.75"/>
    <row r="1580" s="84" customFormat="1" ht="12.75"/>
    <row r="1581" s="84" customFormat="1" ht="12.75"/>
    <row r="1582" s="84" customFormat="1" ht="12.75"/>
    <row r="1583" s="84" customFormat="1" ht="12.75"/>
    <row r="1584" s="84" customFormat="1" ht="12.75"/>
    <row r="1585" s="84" customFormat="1" ht="12.75"/>
    <row r="1586" s="84" customFormat="1" ht="12.75"/>
    <row r="1587" s="84" customFormat="1" ht="12.75"/>
    <row r="1588" s="84" customFormat="1" ht="12.75"/>
    <row r="1589" s="84" customFormat="1" ht="12.75"/>
    <row r="1590" s="84" customFormat="1" ht="12.75"/>
    <row r="1591" s="84" customFormat="1" ht="12.75"/>
    <row r="1592" s="84" customFormat="1" ht="12.75"/>
    <row r="1593" s="84" customFormat="1" ht="12.75"/>
    <row r="1594" s="84" customFormat="1" ht="12.75"/>
    <row r="1595" s="84" customFormat="1" ht="12.75"/>
    <row r="1596" s="84" customFormat="1" ht="12.75"/>
    <row r="1597" s="84" customFormat="1" ht="12.75"/>
    <row r="1598" s="84" customFormat="1" ht="12.75"/>
    <row r="1599" s="84" customFormat="1" ht="12.75"/>
    <row r="1600" s="84" customFormat="1" ht="12.75"/>
    <row r="1601" s="84" customFormat="1" ht="12.75"/>
    <row r="1602" s="84" customFormat="1" ht="12.75"/>
    <row r="1603" s="84" customFormat="1" ht="12.75"/>
    <row r="1604" s="84" customFormat="1" ht="12.75"/>
    <row r="1605" s="84" customFormat="1" ht="12.75"/>
    <row r="1606" s="84" customFormat="1" ht="12.75"/>
    <row r="1607" s="84" customFormat="1" ht="12.75"/>
    <row r="1608" s="84" customFormat="1" ht="12.75"/>
    <row r="1609" s="84" customFormat="1" ht="12.75"/>
    <row r="1610" s="84" customFormat="1" ht="12.75"/>
    <row r="1611" s="84" customFormat="1" ht="12.75"/>
    <row r="1612" s="84" customFormat="1" ht="12.75"/>
    <row r="1613" s="84" customFormat="1" ht="12.75"/>
    <row r="1614" s="84" customFormat="1" ht="12.75"/>
    <row r="1615" s="84" customFormat="1" ht="12.75"/>
    <row r="1616" s="84" customFormat="1" ht="12.75"/>
    <row r="1617" s="84" customFormat="1" ht="12.75"/>
    <row r="1618" s="84" customFormat="1" ht="12.75"/>
    <row r="1619" s="84" customFormat="1" ht="12.75"/>
    <row r="1620" s="84" customFormat="1" ht="12.75"/>
    <row r="1621" s="84" customFormat="1" ht="12.75"/>
    <row r="1622" s="84" customFormat="1" ht="12.75"/>
    <row r="1623" s="84" customFormat="1" ht="12.75"/>
    <row r="1624" s="84" customFormat="1" ht="12.75"/>
    <row r="1625" s="84" customFormat="1" ht="12.75"/>
    <row r="1626" s="84" customFormat="1" ht="12.75"/>
    <row r="1627" s="84" customFormat="1" ht="12.75"/>
    <row r="1628" s="84" customFormat="1" ht="12.75"/>
    <row r="1629" s="84" customFormat="1" ht="12.75"/>
    <row r="1630" s="84" customFormat="1" ht="12.75"/>
    <row r="1631" s="84" customFormat="1" ht="12.75"/>
    <row r="1632" s="84" customFormat="1" ht="12.75"/>
    <row r="1633" s="84" customFormat="1" ht="12.75"/>
    <row r="1634" s="84" customFormat="1" ht="12.75"/>
    <row r="1635" s="84" customFormat="1" ht="12.75"/>
    <row r="1636" s="84" customFormat="1" ht="12.75"/>
    <row r="1637" s="84" customFormat="1" ht="12.75"/>
    <row r="1638" s="84" customFormat="1" ht="12.75"/>
    <row r="1639" s="84" customFormat="1" ht="12.75"/>
    <row r="1640" s="84" customFormat="1" ht="12.75"/>
    <row r="1641" s="84" customFormat="1" ht="12.75"/>
    <row r="1642" s="84" customFormat="1" ht="12.75"/>
    <row r="1643" s="84" customFormat="1" ht="12.75"/>
    <row r="1644" s="84" customFormat="1" ht="12.75"/>
    <row r="1645" s="84" customFormat="1" ht="12.75"/>
    <row r="1646" s="84" customFormat="1" ht="12.75"/>
    <row r="1647" s="84" customFormat="1" ht="12.75"/>
    <row r="1648" s="84" customFormat="1" ht="12.75"/>
    <row r="1649" s="84" customFormat="1" ht="12.75"/>
    <row r="1650" s="84" customFormat="1" ht="12.75"/>
    <row r="1651" s="84" customFormat="1" ht="12.75"/>
    <row r="1652" s="84" customFormat="1" ht="12.75"/>
    <row r="1653" s="84" customFormat="1" ht="12.75"/>
    <row r="1654" s="84" customFormat="1" ht="12.75"/>
    <row r="1655" s="84" customFormat="1" ht="12.75"/>
    <row r="1656" s="84" customFormat="1" ht="12.75"/>
    <row r="1657" s="84" customFormat="1" ht="12.75"/>
    <row r="1658" s="84" customFormat="1" ht="12.75"/>
    <row r="1659" s="84" customFormat="1" ht="12.75"/>
    <row r="1660" s="84" customFormat="1" ht="12.75"/>
    <row r="1661" s="84" customFormat="1" ht="12.75"/>
    <row r="1662" s="84" customFormat="1" ht="12.75"/>
    <row r="1663" s="84" customFormat="1" ht="12.75"/>
    <row r="1664" s="84" customFormat="1" ht="12.75"/>
    <row r="1665" s="84" customFormat="1" ht="12.75"/>
    <row r="1666" s="84" customFormat="1" ht="12.75"/>
    <row r="1667" s="84" customFormat="1" ht="12.75"/>
    <row r="1668" s="84" customFormat="1" ht="12.75"/>
    <row r="1669" s="84" customFormat="1" ht="12.75"/>
    <row r="1670" s="84" customFormat="1" ht="12.75"/>
    <row r="1671" s="84" customFormat="1" ht="12.75"/>
    <row r="1672" s="84" customFormat="1" ht="12.75"/>
    <row r="1673" s="84" customFormat="1" ht="12.75"/>
    <row r="1674" s="84" customFormat="1" ht="12.75"/>
    <row r="1675" s="84" customFormat="1" ht="12.75"/>
    <row r="1676" s="84" customFormat="1" ht="12.75"/>
    <row r="1677" s="84" customFormat="1" ht="12.75"/>
    <row r="1678" s="84" customFormat="1" ht="12.75"/>
    <row r="1679" s="84" customFormat="1" ht="12.75"/>
    <row r="1680" s="84" customFormat="1" ht="12.75"/>
    <row r="1681" s="84" customFormat="1" ht="12.75"/>
    <row r="1682" s="84" customFormat="1" ht="12.75"/>
    <row r="1683" s="84" customFormat="1" ht="12.75"/>
    <row r="1684" s="84" customFormat="1" ht="12.75"/>
    <row r="1685" s="84" customFormat="1" ht="12.75"/>
    <row r="1686" s="84" customFormat="1" ht="12.75"/>
    <row r="1687" s="84" customFormat="1" ht="12.75"/>
    <row r="1688" s="84" customFormat="1" ht="12.75"/>
    <row r="1689" s="84" customFormat="1" ht="12.75"/>
    <row r="1690" s="84" customFormat="1" ht="12.75"/>
    <row r="1691" s="84" customFormat="1" ht="12.75"/>
    <row r="1692" s="84" customFormat="1" ht="12.75"/>
    <row r="1693" s="84" customFormat="1" ht="12.75"/>
    <row r="1694" s="84" customFormat="1" ht="12.75"/>
    <row r="1695" s="84" customFormat="1" ht="12.75"/>
    <row r="1696" s="84" customFormat="1" ht="12.75"/>
    <row r="1697" s="84" customFormat="1" ht="12.75"/>
    <row r="1698" s="84" customFormat="1" ht="12.75"/>
    <row r="1699" s="84" customFormat="1" ht="12.75"/>
    <row r="1700" s="84" customFormat="1" ht="12.75"/>
    <row r="1701" s="84" customFormat="1" ht="12.75"/>
    <row r="1702" s="84" customFormat="1" ht="12.75"/>
    <row r="1703" s="84" customFormat="1" ht="12.75"/>
    <row r="1704" s="84" customFormat="1" ht="12.75"/>
    <row r="1705" s="84" customFormat="1" ht="12.75"/>
    <row r="1706" s="84" customFormat="1" ht="12.75"/>
    <row r="1707" s="84" customFormat="1" ht="12.75"/>
    <row r="1708" s="84" customFormat="1" ht="12.75"/>
    <row r="1709" s="84" customFormat="1" ht="12.75"/>
    <row r="1710" s="84" customFormat="1" ht="12.75"/>
    <row r="1711" s="84" customFormat="1" ht="12.75"/>
    <row r="1712" s="84" customFormat="1" ht="12.75"/>
    <row r="1713" s="84" customFormat="1" ht="12.75"/>
    <row r="1714" s="84" customFormat="1" ht="12.75"/>
    <row r="1715" s="84" customFormat="1" ht="12.75"/>
    <row r="1716" s="84" customFormat="1" ht="12.75"/>
    <row r="1717" s="84" customFormat="1" ht="12.75"/>
    <row r="1718" s="84" customFormat="1" ht="12.75"/>
    <row r="1719" s="84" customFormat="1" ht="12.75"/>
    <row r="1720" s="84" customFormat="1" ht="12.75"/>
    <row r="1721" s="84" customFormat="1" ht="12.75"/>
    <row r="1722" s="84" customFormat="1" ht="12.75"/>
    <row r="1723" s="84" customFormat="1" ht="12.75"/>
    <row r="1724" s="84" customFormat="1" ht="12.75"/>
    <row r="1725" s="84" customFormat="1" ht="12.75"/>
    <row r="1726" s="84" customFormat="1" ht="12.75"/>
    <row r="1727" s="84" customFormat="1" ht="12.75"/>
    <row r="1728" s="84" customFormat="1" ht="12.75"/>
    <row r="1729" s="84" customFormat="1" ht="12.75"/>
    <row r="1730" s="84" customFormat="1" ht="12.75"/>
    <row r="1731" s="84" customFormat="1" ht="12.75"/>
    <row r="1732" s="84" customFormat="1" ht="12.75"/>
    <row r="1733" s="84" customFormat="1" ht="12.75"/>
    <row r="1734" s="84" customFormat="1" ht="12.75"/>
    <row r="1735" s="84" customFormat="1" ht="12.75"/>
    <row r="1736" s="84" customFormat="1" ht="12.75"/>
    <row r="1737" s="84" customFormat="1" ht="12.75"/>
    <row r="1738" s="84" customFormat="1" ht="12.75"/>
    <row r="1739" s="84" customFormat="1" ht="12.75"/>
    <row r="1740" s="84" customFormat="1" ht="12.75"/>
    <row r="1741" s="84" customFormat="1" ht="12.75"/>
    <row r="1742" s="84" customFormat="1" ht="12.75"/>
    <row r="1743" s="84" customFormat="1" ht="12.75"/>
    <row r="1744" s="84" customFormat="1" ht="12.75"/>
    <row r="1745" s="84" customFormat="1" ht="12.75"/>
    <row r="1746" s="84" customFormat="1" ht="12.75"/>
    <row r="1747" s="84" customFormat="1" ht="12.75"/>
    <row r="1748" s="84" customFormat="1" ht="12.75"/>
    <row r="1749" s="84" customFormat="1" ht="12.75"/>
    <row r="1750" s="84" customFormat="1" ht="12.75"/>
    <row r="1751" s="84" customFormat="1" ht="12.75"/>
    <row r="1752" s="84" customFormat="1" ht="12.75"/>
    <row r="1753" s="84" customFormat="1" ht="12.75"/>
    <row r="1754" s="84" customFormat="1" ht="12.75"/>
    <row r="1755" s="84" customFormat="1" ht="12.75"/>
    <row r="1756" s="84" customFormat="1" ht="12.75"/>
    <row r="1757" s="84" customFormat="1" ht="12.75"/>
    <row r="1758" s="84" customFormat="1" ht="12.75"/>
    <row r="1759" s="84" customFormat="1" ht="12.75"/>
    <row r="1760" s="84" customFormat="1" ht="12.75"/>
    <row r="1761" s="84" customFormat="1" ht="12.75"/>
    <row r="1762" s="84" customFormat="1" ht="12.75"/>
    <row r="1763" s="84" customFormat="1" ht="12.75"/>
    <row r="1764" s="84" customFormat="1" ht="12.75"/>
    <row r="1765" s="84" customFormat="1" ht="12.75"/>
    <row r="1766" s="84" customFormat="1" ht="12.75"/>
    <row r="1767" s="84" customFormat="1" ht="12.75"/>
    <row r="1768" s="84" customFormat="1" ht="12.75"/>
    <row r="1769" s="84" customFormat="1" ht="12.75"/>
    <row r="1770" s="84" customFormat="1" ht="12.75"/>
    <row r="1771" s="84" customFormat="1" ht="12.75"/>
    <row r="1772" s="84" customFormat="1" ht="12.75"/>
    <row r="1773" s="84" customFormat="1" ht="12.75"/>
    <row r="1774" s="84" customFormat="1" ht="12.75"/>
    <row r="1775" s="84" customFormat="1" ht="12.75"/>
    <row r="1776" s="84" customFormat="1" ht="12.75"/>
    <row r="1777" s="84" customFormat="1" ht="12.75"/>
    <row r="1778" s="84" customFormat="1" ht="12.75"/>
    <row r="1779" s="84" customFormat="1" ht="12.75"/>
    <row r="1780" s="84" customFormat="1" ht="12.75"/>
    <row r="1781" s="84" customFormat="1" ht="12.75"/>
    <row r="1782" s="84" customFormat="1" ht="12.75"/>
    <row r="1783" s="84" customFormat="1" ht="12.75"/>
    <row r="1784" s="84" customFormat="1" ht="12.75"/>
    <row r="1785" s="84" customFormat="1" ht="12.75"/>
    <row r="1786" s="84" customFormat="1" ht="12.75"/>
    <row r="1787" s="84" customFormat="1" ht="12.75"/>
    <row r="1788" s="84" customFormat="1" ht="12.75"/>
    <row r="1789" s="84" customFormat="1" ht="12.75"/>
    <row r="1790" s="84" customFormat="1" ht="12.75"/>
    <row r="1791" s="84" customFormat="1" ht="12.75"/>
    <row r="1792" s="84" customFormat="1" ht="12.75"/>
    <row r="1793" s="84" customFormat="1" ht="12.75"/>
    <row r="1794" s="84" customFormat="1" ht="12.75"/>
    <row r="1795" s="84" customFormat="1" ht="12.75"/>
    <row r="1796" s="84" customFormat="1" ht="12.75"/>
    <row r="1797" s="84" customFormat="1" ht="12.75"/>
    <row r="1798" s="84" customFormat="1" ht="12.75"/>
    <row r="1799" s="84" customFormat="1" ht="12.75"/>
    <row r="1800" s="84" customFormat="1" ht="12.75"/>
    <row r="1801" s="84" customFormat="1" ht="12.75"/>
    <row r="1802" s="84" customFormat="1" ht="12.75"/>
    <row r="1803" s="84" customFormat="1" ht="12.75"/>
    <row r="1804" s="84" customFormat="1" ht="12.75"/>
    <row r="1805" s="84" customFormat="1" ht="12.75"/>
    <row r="1806" s="84" customFormat="1" ht="12.75"/>
    <row r="1807" s="84" customFormat="1" ht="12.75"/>
    <row r="1808" s="84" customFormat="1" ht="12.75"/>
    <row r="1809" s="84" customFormat="1" ht="12.75"/>
    <row r="1810" s="84" customFormat="1" ht="12.75"/>
    <row r="1811" s="84" customFormat="1" ht="12.75"/>
    <row r="1812" s="84" customFormat="1" ht="12.75"/>
    <row r="1813" s="84" customFormat="1" ht="12.75"/>
    <row r="1814" s="84" customFormat="1" ht="12.75"/>
    <row r="1815" s="84" customFormat="1" ht="12.75"/>
    <row r="1816" s="84" customFormat="1" ht="12.75"/>
    <row r="1817" s="84" customFormat="1" ht="12.75"/>
    <row r="1818" s="84" customFormat="1" ht="12.75"/>
    <row r="1819" s="84" customFormat="1" ht="12.75"/>
    <row r="1820" s="84" customFormat="1" ht="12.75"/>
    <row r="1821" s="84" customFormat="1" ht="12.75"/>
    <row r="1822" s="84" customFormat="1" ht="12.75"/>
    <row r="1823" s="84" customFormat="1" ht="12.75"/>
    <row r="1824" s="84" customFormat="1" ht="12.75"/>
    <row r="1825" s="84" customFormat="1" ht="12.75"/>
    <row r="1826" s="84" customFormat="1" ht="12.75"/>
    <row r="1827" s="84" customFormat="1" ht="12.75"/>
    <row r="1828" s="84" customFormat="1" ht="12.75"/>
    <row r="1829" s="84" customFormat="1" ht="12.75"/>
    <row r="1830" s="84" customFormat="1" ht="12.75"/>
    <row r="1831" s="84" customFormat="1" ht="12.75"/>
    <row r="1832" s="84" customFormat="1" ht="12.75"/>
    <row r="1833" s="84" customFormat="1" ht="12.75"/>
    <row r="1834" s="84" customFormat="1" ht="12.75"/>
    <row r="1835" s="84" customFormat="1" ht="12.75"/>
    <row r="1836" s="84" customFormat="1" ht="12.75"/>
    <row r="1837" s="84" customFormat="1" ht="12.75"/>
    <row r="1838" s="84" customFormat="1" ht="12.75"/>
    <row r="1839" s="84" customFormat="1" ht="12.75"/>
    <row r="1840" s="84" customFormat="1" ht="12.75"/>
    <row r="1841" s="84" customFormat="1" ht="12.75"/>
    <row r="1842" s="84" customFormat="1" ht="12.75"/>
    <row r="1843" s="84" customFormat="1" ht="12.75"/>
    <row r="1844" s="84" customFormat="1" ht="12.75"/>
    <row r="1845" s="84" customFormat="1" ht="12.75"/>
    <row r="1846" s="84" customFormat="1" ht="12.75"/>
    <row r="1847" s="84" customFormat="1" ht="12.75"/>
    <row r="1848" s="84" customFormat="1" ht="12.75"/>
    <row r="1849" s="84" customFormat="1" ht="12.75"/>
    <row r="1850" s="84" customFormat="1" ht="12.75"/>
    <row r="1851" s="84" customFormat="1" ht="12.75"/>
    <row r="1852" s="84" customFormat="1" ht="12.75"/>
    <row r="1853" s="84" customFormat="1" ht="12.75"/>
    <row r="1854" s="84" customFormat="1" ht="12.75"/>
    <row r="1855" s="84" customFormat="1" ht="12.75"/>
    <row r="1856" s="84" customFormat="1" ht="12.75"/>
    <row r="1857" s="84" customFormat="1" ht="12.75"/>
    <row r="1858" s="84" customFormat="1" ht="12.75"/>
    <row r="1859" s="84" customFormat="1" ht="12.75"/>
    <row r="1860" s="84" customFormat="1" ht="12.75"/>
    <row r="1861" s="84" customFormat="1" ht="12.75"/>
    <row r="1862" s="84" customFormat="1" ht="12.75"/>
    <row r="1863" s="84" customFormat="1" ht="12.75"/>
    <row r="1864" s="84" customFormat="1" ht="12.75"/>
    <row r="1865" s="84" customFormat="1" ht="12.75"/>
    <row r="1866" s="84" customFormat="1" ht="12.75"/>
    <row r="1867" s="84" customFormat="1" ht="12.75"/>
    <row r="1868" s="84" customFormat="1" ht="12.75"/>
    <row r="1869" s="84" customFormat="1" ht="12.75"/>
    <row r="1870" s="84" customFormat="1" ht="12.75"/>
    <row r="1871" s="84" customFormat="1" ht="12.75"/>
    <row r="1872" s="84" customFormat="1" ht="12.75"/>
    <row r="1873" s="84" customFormat="1" ht="12.75"/>
    <row r="1874" s="84" customFormat="1" ht="12.75"/>
    <row r="1875" s="84" customFormat="1" ht="12.75"/>
    <row r="1876" s="84" customFormat="1" ht="12.75"/>
    <row r="1877" s="84" customFormat="1" ht="12.75"/>
    <row r="1878" s="84" customFormat="1" ht="12.75"/>
    <row r="1879" s="84" customFormat="1" ht="12.75"/>
    <row r="1880" s="84" customFormat="1" ht="12.75"/>
    <row r="1881" s="84" customFormat="1" ht="12.75"/>
    <row r="1882" s="84" customFormat="1" ht="12.75"/>
    <row r="1883" s="84" customFormat="1" ht="12.75"/>
    <row r="1884" s="84" customFormat="1" ht="12.75"/>
    <row r="1885" s="84" customFormat="1" ht="12.75"/>
    <row r="1886" s="84" customFormat="1" ht="12.75"/>
    <row r="1887" s="84" customFormat="1" ht="12.75"/>
    <row r="1888" s="84" customFormat="1" ht="12.75"/>
    <row r="1889" s="84" customFormat="1" ht="12.75"/>
    <row r="1890" s="84" customFormat="1" ht="12.75"/>
    <row r="1891" s="84" customFormat="1" ht="12.75"/>
    <row r="1892" s="84" customFormat="1" ht="12.75"/>
    <row r="1893" s="84" customFormat="1" ht="12.75"/>
    <row r="1894" s="84" customFormat="1" ht="12.75"/>
    <row r="1895" s="84" customFormat="1" ht="12.75"/>
    <row r="1896" s="84" customFormat="1" ht="12.75"/>
    <row r="1897" s="84" customFormat="1" ht="12.75"/>
    <row r="1898" s="84" customFormat="1" ht="12.75"/>
    <row r="1899" s="84" customFormat="1" ht="12.75"/>
    <row r="1900" s="84" customFormat="1" ht="12.75"/>
    <row r="1901" s="84" customFormat="1" ht="12.75"/>
    <row r="1902" s="84" customFormat="1" ht="12.75"/>
    <row r="1903" s="84" customFormat="1" ht="12.75"/>
    <row r="1904" s="84" customFormat="1" ht="12.75"/>
    <row r="1905" s="84" customFormat="1" ht="12.75"/>
    <row r="1906" s="84" customFormat="1" ht="12.75"/>
    <row r="1907" s="84" customFormat="1" ht="12.75"/>
    <row r="1908" s="84" customFormat="1" ht="12.75"/>
    <row r="1909" s="84" customFormat="1" ht="12.75"/>
    <row r="1910" s="84" customFormat="1" ht="12.75"/>
    <row r="1911" s="84" customFormat="1" ht="12.75"/>
    <row r="1912" s="84" customFormat="1" ht="12.75"/>
    <row r="1913" s="84" customFormat="1" ht="12.75"/>
    <row r="1914" s="84" customFormat="1" ht="12.75"/>
    <row r="1915" s="84" customFormat="1" ht="12.75"/>
    <row r="1916" s="84" customFormat="1" ht="12.75"/>
    <row r="1917" s="84" customFormat="1" ht="12.75"/>
    <row r="1918" s="84" customFormat="1" ht="12.75"/>
    <row r="1919" s="84" customFormat="1" ht="12.75"/>
    <row r="1920" s="84" customFormat="1" ht="12.75"/>
    <row r="1921" s="84" customFormat="1" ht="12.75"/>
    <row r="1922" s="84" customFormat="1" ht="12.75"/>
    <row r="1923" s="84" customFormat="1" ht="12.75"/>
    <row r="1924" s="84" customFormat="1" ht="12.75"/>
    <row r="1925" s="84" customFormat="1" ht="12.75"/>
    <row r="1926" s="84" customFormat="1" ht="12.75"/>
    <row r="1927" s="84" customFormat="1" ht="12.75"/>
    <row r="1928" s="84" customFormat="1" ht="12.75"/>
    <row r="1929" s="84" customFormat="1" ht="12.75"/>
    <row r="1930" s="84" customFormat="1" ht="12.75"/>
    <row r="1931" s="84" customFormat="1" ht="12.75"/>
    <row r="1932" s="84" customFormat="1" ht="12.75"/>
    <row r="1933" s="84" customFormat="1" ht="12.75"/>
    <row r="1934" s="84" customFormat="1" ht="12.75"/>
    <row r="1935" s="84" customFormat="1" ht="12.75"/>
    <row r="1936" s="84" customFormat="1" ht="12.75"/>
    <row r="1937" s="84" customFormat="1" ht="12.75"/>
    <row r="1938" s="84" customFormat="1" ht="12.75"/>
    <row r="1939" s="84" customFormat="1" ht="12.75"/>
    <row r="1940" s="84" customFormat="1" ht="12.75"/>
    <row r="1941" s="84" customFormat="1" ht="12.75"/>
    <row r="1942" s="84" customFormat="1" ht="12.75"/>
    <row r="1943" s="84" customFormat="1" ht="12.75"/>
    <row r="1944" s="84" customFormat="1" ht="12.75"/>
    <row r="1945" s="84" customFormat="1" ht="12.75"/>
    <row r="1946" s="84" customFormat="1" ht="12.75"/>
    <row r="1947" s="84" customFormat="1" ht="12.75"/>
    <row r="1948" s="84" customFormat="1" ht="12.75"/>
    <row r="1949" s="84" customFormat="1" ht="12.75"/>
    <row r="1950" s="84" customFormat="1" ht="12.75"/>
    <row r="1951" s="84" customFormat="1" ht="12.75"/>
    <row r="1952" s="84" customFormat="1" ht="12.75"/>
    <row r="1953" s="84" customFormat="1" ht="12.75"/>
    <row r="1954" s="84" customFormat="1" ht="12.75"/>
    <row r="1955" s="84" customFormat="1" ht="12.75"/>
    <row r="1956" s="84" customFormat="1" ht="12.75"/>
    <row r="1957" s="84" customFormat="1" ht="12.75"/>
    <row r="1958" s="84" customFormat="1" ht="12.75"/>
    <row r="1959" s="84" customFormat="1" ht="12.75"/>
    <row r="1960" s="84" customFormat="1" ht="12.75"/>
    <row r="1961" s="84" customFormat="1" ht="12.75"/>
    <row r="1962" s="84" customFormat="1" ht="12.75"/>
    <row r="1963" s="84" customFormat="1" ht="12.75"/>
    <row r="1964" s="84" customFormat="1" ht="12.75"/>
    <row r="1965" s="84" customFormat="1" ht="12.75"/>
    <row r="1966" s="84" customFormat="1" ht="12.75"/>
    <row r="1967" s="84" customFormat="1" ht="12.75"/>
    <row r="1968" s="84" customFormat="1" ht="12.75"/>
    <row r="1969" s="84" customFormat="1" ht="12.75"/>
    <row r="1970" s="84" customFormat="1" ht="12.75"/>
    <row r="1971" s="84" customFormat="1" ht="12.75"/>
    <row r="1972" s="84" customFormat="1" ht="12.75"/>
    <row r="1973" s="84" customFormat="1" ht="12.75"/>
    <row r="1974" s="84" customFormat="1" ht="12.75"/>
    <row r="1975" s="84" customFormat="1" ht="12.75"/>
    <row r="1976" s="84" customFormat="1" ht="12.75"/>
    <row r="1977" s="84" customFormat="1" ht="12.75"/>
    <row r="1978" s="84" customFormat="1" ht="12.75"/>
    <row r="1979" s="84" customFormat="1" ht="12.75"/>
    <row r="1980" s="84" customFormat="1" ht="12.75"/>
    <row r="1981" s="84" customFormat="1" ht="12.75"/>
    <row r="1982" s="84" customFormat="1" ht="12.75"/>
    <row r="1983" s="84" customFormat="1" ht="12.75"/>
    <row r="1984" s="84" customFormat="1" ht="12.75"/>
    <row r="1985" s="84" customFormat="1" ht="12.75"/>
    <row r="1986" s="84" customFormat="1" ht="12.75"/>
    <row r="1987" s="84" customFormat="1" ht="12.75"/>
    <row r="1988" s="84" customFormat="1" ht="12.75"/>
    <row r="1989" s="84" customFormat="1" ht="12.75"/>
    <row r="1990" s="84" customFormat="1" ht="12.75"/>
    <row r="1991" s="84" customFormat="1" ht="12.75"/>
    <row r="1992" s="84" customFormat="1" ht="12.75"/>
    <row r="1993" s="84" customFormat="1" ht="12.75"/>
    <row r="1994" s="84" customFormat="1" ht="12.75"/>
    <row r="1995" s="84" customFormat="1" ht="12.75"/>
    <row r="1996" s="84" customFormat="1" ht="12.75"/>
    <row r="1997" s="84" customFormat="1" ht="12.75"/>
    <row r="1998" s="84" customFormat="1" ht="12.75"/>
    <row r="1999" s="84" customFormat="1" ht="12.75"/>
    <row r="2000" s="84" customFormat="1" ht="12.75"/>
    <row r="2001" s="84" customFormat="1" ht="12.75"/>
    <row r="2002" s="84" customFormat="1" ht="12.75"/>
    <row r="2003" s="84" customFormat="1" ht="12.75"/>
    <row r="2004" s="84" customFormat="1" ht="12.75"/>
    <row r="2005" s="84" customFormat="1" ht="12.75"/>
    <row r="2006" s="84" customFormat="1" ht="12.75"/>
    <row r="2007" s="84" customFormat="1" ht="12.75"/>
    <row r="2008" s="84" customFormat="1" ht="12.75"/>
    <row r="2009" s="84" customFormat="1" ht="12.75"/>
    <row r="2010" s="84" customFormat="1" ht="12.75"/>
    <row r="2011" s="84" customFormat="1" ht="12.75"/>
    <row r="2012" s="84" customFormat="1" ht="12.75"/>
    <row r="2013" s="84" customFormat="1" ht="12.75"/>
    <row r="2014" s="84" customFormat="1" ht="12.75"/>
    <row r="2015" s="84" customFormat="1" ht="12.75"/>
    <row r="2016" s="84" customFormat="1" ht="12.75"/>
    <row r="2017" s="84" customFormat="1" ht="12.75"/>
    <row r="2018" s="84" customFormat="1" ht="12.75"/>
    <row r="2019" s="84" customFormat="1" ht="12.75"/>
    <row r="2020" s="84" customFormat="1" ht="12.75"/>
    <row r="2021" s="84" customFormat="1" ht="12.75"/>
    <row r="2022" s="84" customFormat="1" ht="12.75"/>
    <row r="2023" s="84" customFormat="1" ht="12.75"/>
    <row r="2024" s="84" customFormat="1" ht="12.75"/>
    <row r="2025" s="84" customFormat="1" ht="12.75"/>
    <row r="2026" s="84" customFormat="1" ht="12.75"/>
    <row r="2027" s="84" customFormat="1" ht="12.75"/>
    <row r="2028" s="84" customFormat="1" ht="12.75"/>
    <row r="2029" s="84" customFormat="1" ht="12.75"/>
    <row r="2030" s="84" customFormat="1" ht="12.75"/>
    <row r="2031" s="84" customFormat="1" ht="12.75"/>
    <row r="2032" s="84" customFormat="1" ht="12.75"/>
    <row r="2033" s="84" customFormat="1" ht="12.75"/>
    <row r="2034" s="84" customFormat="1" ht="12.75"/>
    <row r="2035" s="84" customFormat="1" ht="12.75"/>
    <row r="2036" s="84" customFormat="1" ht="12.75"/>
    <row r="2037" s="84" customFormat="1" ht="12.75"/>
    <row r="2038" s="84" customFormat="1" ht="12.75"/>
    <row r="2039" s="84" customFormat="1" ht="12.75"/>
    <row r="2040" s="84" customFormat="1" ht="12.75"/>
    <row r="2041" s="84" customFormat="1" ht="12.75"/>
    <row r="2042" s="84" customFormat="1" ht="12.75"/>
    <row r="2043" s="84" customFormat="1" ht="12.75"/>
    <row r="2044" s="84" customFormat="1" ht="12.75"/>
    <row r="2045" s="84" customFormat="1" ht="12.75"/>
    <row r="2046" s="84" customFormat="1" ht="12.75"/>
    <row r="2047" s="84" customFormat="1" ht="12.75"/>
    <row r="2048" s="84" customFormat="1" ht="12.75"/>
    <row r="2049" s="84" customFormat="1" ht="12.75"/>
    <row r="2050" s="84" customFormat="1" ht="12.75"/>
    <row r="2051" s="84" customFormat="1" ht="12.75"/>
    <row r="2052" s="84" customFormat="1" ht="12.75"/>
    <row r="2053" s="84" customFormat="1" ht="12.75"/>
    <row r="2054" s="84" customFormat="1" ht="12.75"/>
    <row r="2055" s="84" customFormat="1" ht="12.75"/>
    <row r="2056" s="84" customFormat="1" ht="12.75"/>
    <row r="2057" s="84" customFormat="1" ht="12.75"/>
    <row r="2058" s="84" customFormat="1" ht="12.75"/>
    <row r="2059" s="84" customFormat="1" ht="12.75"/>
    <row r="2060" s="84" customFormat="1" ht="12.75"/>
    <row r="2061" s="84" customFormat="1" ht="12.75"/>
    <row r="2062" s="84" customFormat="1" ht="12.75"/>
    <row r="2063" s="84" customFormat="1" ht="12.75"/>
    <row r="2064" s="84" customFormat="1" ht="12.75"/>
    <row r="2065" s="84" customFormat="1" ht="12.75"/>
    <row r="2066" s="84" customFormat="1" ht="12.75"/>
    <row r="2067" s="84" customFormat="1" ht="12.75"/>
    <row r="2068" s="84" customFormat="1" ht="12.75"/>
    <row r="2069" s="84" customFormat="1" ht="12.75"/>
    <row r="2070" s="84" customFormat="1" ht="12.75"/>
    <row r="2071" s="84" customFormat="1" ht="12.75"/>
    <row r="2072" s="84" customFormat="1" ht="12.75"/>
    <row r="2073" s="84" customFormat="1" ht="12.75"/>
    <row r="2074" s="84" customFormat="1" ht="12.75"/>
    <row r="2075" s="84" customFormat="1" ht="12.75"/>
    <row r="2076" s="84" customFormat="1" ht="12.75"/>
    <row r="2077" s="84" customFormat="1" ht="12.75"/>
    <row r="2078" s="84" customFormat="1" ht="12.75"/>
    <row r="2079" s="84" customFormat="1" ht="12.75"/>
    <row r="2080" s="84" customFormat="1" ht="12.75"/>
    <row r="2081" s="84" customFormat="1" ht="12.75"/>
    <row r="2082" s="84" customFormat="1" ht="12.75"/>
    <row r="2083" s="84" customFormat="1" ht="12.75"/>
    <row r="2084" s="84" customFormat="1" ht="12.75"/>
    <row r="2085" s="84" customFormat="1" ht="12.75"/>
    <row r="2086" s="84" customFormat="1" ht="12.75"/>
    <row r="2087" s="84" customFormat="1" ht="12.75"/>
    <row r="2088" s="84" customFormat="1" ht="12.75"/>
    <row r="2089" s="84" customFormat="1" ht="12.75"/>
    <row r="2090" s="84" customFormat="1" ht="12.75"/>
    <row r="2091" s="84" customFormat="1" ht="12.75"/>
    <row r="2092" s="84" customFormat="1" ht="12.75"/>
    <row r="2093" s="84" customFormat="1" ht="12.75"/>
    <row r="2094" s="84" customFormat="1" ht="12.75"/>
    <row r="2095" s="84" customFormat="1" ht="12.75"/>
    <row r="2096" s="84" customFormat="1" ht="12.75"/>
    <row r="2097" s="84" customFormat="1" ht="12.75"/>
    <row r="2098" s="84" customFormat="1" ht="12.75"/>
    <row r="2099" s="84" customFormat="1" ht="12.75"/>
    <row r="2100" s="84" customFormat="1" ht="12.75"/>
    <row r="2101" s="84" customFormat="1" ht="12.75"/>
    <row r="2102" s="84" customFormat="1" ht="12.75"/>
    <row r="2103" s="84" customFormat="1" ht="12.75"/>
    <row r="2104" s="84" customFormat="1" ht="12.75"/>
    <row r="2105" s="84" customFormat="1" ht="12.75"/>
    <row r="2106" s="84" customFormat="1" ht="12.75"/>
    <row r="2107" s="84" customFormat="1" ht="12.75"/>
    <row r="2108" s="84" customFormat="1" ht="12.75"/>
    <row r="2109" s="84" customFormat="1" ht="12.75"/>
    <row r="2110" s="84" customFormat="1" ht="12.75"/>
    <row r="2111" s="84" customFormat="1" ht="12.75"/>
    <row r="2112" s="84" customFormat="1" ht="12.75"/>
    <row r="2113" s="84" customFormat="1" ht="12.75"/>
    <row r="2114" s="84" customFormat="1" ht="12.75"/>
    <row r="2115" s="84" customFormat="1" ht="12.75"/>
    <row r="2116" s="84" customFormat="1" ht="12.75"/>
    <row r="2117" s="84" customFormat="1" ht="12.75"/>
    <row r="2118" s="84" customFormat="1" ht="12.75"/>
    <row r="2119" s="84" customFormat="1" ht="12.75"/>
    <row r="2120" s="84" customFormat="1" ht="12.75"/>
    <row r="2121" s="84" customFormat="1" ht="12.75"/>
    <row r="2122" s="84" customFormat="1" ht="12.75"/>
    <row r="2123" s="84" customFormat="1" ht="12.75"/>
    <row r="2124" s="84" customFormat="1" ht="12.75"/>
    <row r="2125" s="84" customFormat="1" ht="12.75"/>
    <row r="2126" s="84" customFormat="1" ht="12.75"/>
    <row r="2127" s="84" customFormat="1" ht="12.75"/>
    <row r="2128" s="84" customFormat="1" ht="12.75"/>
    <row r="2129" s="84" customFormat="1" ht="12.75"/>
    <row r="2130" s="84" customFormat="1" ht="12.75"/>
    <row r="2131" s="84" customFormat="1" ht="12.75"/>
    <row r="2132" s="84" customFormat="1" ht="12.75"/>
    <row r="2133" s="84" customFormat="1" ht="12.75"/>
    <row r="2134" s="84" customFormat="1" ht="12.75"/>
    <row r="2135" s="84" customFormat="1" ht="12.75"/>
    <row r="2136" s="84" customFormat="1" ht="12.75"/>
    <row r="2137" s="84" customFormat="1" ht="12.75"/>
    <row r="2138" s="84" customFormat="1" ht="12.75"/>
    <row r="2139" s="84" customFormat="1" ht="12.75"/>
    <row r="2140" s="84" customFormat="1" ht="12.75"/>
    <row r="2141" s="84" customFormat="1" ht="12.75"/>
    <row r="2142" s="84" customFormat="1" ht="12.75"/>
    <row r="2143" s="84" customFormat="1" ht="12.75"/>
    <row r="2144" s="84" customFormat="1" ht="12.75"/>
    <row r="2145" s="84" customFormat="1" ht="12.75"/>
    <row r="2146" s="84" customFormat="1" ht="12.75"/>
    <row r="2147" s="84" customFormat="1" ht="12.75"/>
    <row r="2148" s="84" customFormat="1" ht="12.75"/>
    <row r="2149" s="84" customFormat="1" ht="12.75"/>
    <row r="2150" s="84" customFormat="1" ht="12.75"/>
    <row r="2151" s="84" customFormat="1" ht="12.75"/>
    <row r="2152" s="84" customFormat="1" ht="12.75"/>
    <row r="2153" s="84" customFormat="1" ht="12.75"/>
    <row r="2154" s="84" customFormat="1" ht="12.75"/>
    <row r="2155" s="84" customFormat="1" ht="12.75"/>
    <row r="2156" s="84" customFormat="1" ht="12.75"/>
    <row r="2157" s="84" customFormat="1" ht="12.75"/>
    <row r="2158" s="84" customFormat="1" ht="12.75"/>
    <row r="2159" s="84" customFormat="1" ht="12.75"/>
    <row r="2160" s="84" customFormat="1" ht="12.75"/>
    <row r="2161" s="84" customFormat="1" ht="12.75"/>
    <row r="2162" s="84" customFormat="1" ht="12.75"/>
    <row r="2163" s="84" customFormat="1" ht="12.75"/>
    <row r="2164" s="84" customFormat="1" ht="12.75"/>
    <row r="2165" s="84" customFormat="1" ht="12.75"/>
    <row r="2166" s="84" customFormat="1" ht="12.75"/>
    <row r="2167" s="84" customFormat="1" ht="12.75"/>
    <row r="2168" s="84" customFormat="1" ht="12.75"/>
    <row r="2169" s="84" customFormat="1" ht="12.75"/>
    <row r="2170" s="84" customFormat="1" ht="12.75"/>
    <row r="2171" s="84" customFormat="1" ht="12.75"/>
    <row r="2172" s="84" customFormat="1" ht="12.75"/>
    <row r="2173" s="84" customFormat="1" ht="12.75"/>
    <row r="2174" s="84" customFormat="1" ht="12.75"/>
    <row r="2175" s="84" customFormat="1" ht="12.75"/>
    <row r="2176" s="84" customFormat="1" ht="12.75"/>
    <row r="2177" s="84" customFormat="1" ht="12.75"/>
    <row r="2178" s="84" customFormat="1" ht="12.75"/>
    <row r="2179" s="84" customFormat="1" ht="12.75"/>
    <row r="2180" s="84" customFormat="1" ht="12.75"/>
    <row r="2181" s="84" customFormat="1" ht="12.75"/>
    <row r="2182" s="84" customFormat="1" ht="12.75"/>
    <row r="2183" s="84" customFormat="1" ht="12.75"/>
    <row r="2184" s="84" customFormat="1" ht="12.75"/>
    <row r="2185" s="84" customFormat="1" ht="12.75"/>
    <row r="2186" s="84" customFormat="1" ht="12.75"/>
    <row r="2187" s="84" customFormat="1" ht="12.75"/>
    <row r="2188" s="84" customFormat="1" ht="12.75"/>
    <row r="2189" s="84" customFormat="1" ht="12.75"/>
    <row r="2190" s="84" customFormat="1" ht="12.75"/>
    <row r="2191" s="84" customFormat="1" ht="12.75"/>
    <row r="2192" s="84" customFormat="1" ht="12.75"/>
    <row r="2193" s="84" customFormat="1" ht="12.75"/>
    <row r="2194" s="84" customFormat="1" ht="12.75"/>
    <row r="2195" s="84" customFormat="1" ht="12.75"/>
    <row r="2196" s="84" customFormat="1" ht="12.75"/>
    <row r="2197" s="84" customFormat="1" ht="12.75"/>
    <row r="2198" s="84" customFormat="1" ht="12.75"/>
    <row r="2199" s="84" customFormat="1" ht="12.75"/>
    <row r="2200" s="84" customFormat="1" ht="12.75"/>
    <row r="2201" s="84" customFormat="1" ht="12.75"/>
    <row r="2202" s="84" customFormat="1" ht="12.75"/>
    <row r="2203" s="84" customFormat="1" ht="12.75"/>
    <row r="2204" s="84" customFormat="1" ht="12.75"/>
    <row r="2205" s="84" customFormat="1" ht="12.75"/>
    <row r="2206" s="84" customFormat="1" ht="12.75"/>
    <row r="2207" s="84" customFormat="1" ht="12.75"/>
    <row r="2208" s="84" customFormat="1" ht="12.75"/>
    <row r="2209" s="84" customFormat="1" ht="12.75"/>
    <row r="2210" s="84" customFormat="1" ht="12.75"/>
    <row r="2211" s="84" customFormat="1" ht="12.75"/>
    <row r="2212" s="84" customFormat="1" ht="12.75"/>
    <row r="2213" s="84" customFormat="1" ht="12.75"/>
    <row r="2214" s="84" customFormat="1" ht="12.75"/>
    <row r="2215" s="84" customFormat="1" ht="12.75"/>
    <row r="2216" s="84" customFormat="1" ht="12.75"/>
    <row r="2217" s="84" customFormat="1" ht="12.75"/>
    <row r="2218" s="84" customFormat="1" ht="12.75"/>
    <row r="2219" s="84" customFormat="1" ht="12.75"/>
    <row r="2220" s="84" customFormat="1" ht="12.75"/>
    <row r="2221" s="84" customFormat="1" ht="12.75"/>
    <row r="2222" s="84" customFormat="1" ht="12.75"/>
    <row r="2223" s="84" customFormat="1" ht="12.75"/>
    <row r="2224" s="84" customFormat="1" ht="12.75"/>
    <row r="2225" s="84" customFormat="1" ht="12.75"/>
    <row r="2226" s="84" customFormat="1" ht="12.75"/>
    <row r="2227" s="84" customFormat="1" ht="12.75"/>
    <row r="2228" s="84" customFormat="1" ht="12.75"/>
    <row r="2229" s="84" customFormat="1" ht="12.75"/>
    <row r="2230" s="84" customFormat="1" ht="12.75"/>
    <row r="2231" s="84" customFormat="1" ht="12.75"/>
    <row r="2232" s="84" customFormat="1" ht="12.75"/>
    <row r="2233" s="84" customFormat="1" ht="12.75"/>
    <row r="2234" s="84" customFormat="1" ht="12.75"/>
    <row r="2235" s="84" customFormat="1" ht="12.75"/>
    <row r="2236" s="84" customFormat="1" ht="12.75"/>
    <row r="2237" s="84" customFormat="1" ht="12.75"/>
    <row r="2238" s="84" customFormat="1" ht="12.75"/>
    <row r="2239" s="84" customFormat="1" ht="12.75"/>
    <row r="2240" s="84" customFormat="1" ht="12.75"/>
    <row r="2241" s="84" customFormat="1" ht="12.75"/>
    <row r="2242" s="84" customFormat="1" ht="12.75"/>
    <row r="2243" s="84" customFormat="1" ht="12.75"/>
    <row r="2244" s="84" customFormat="1" ht="12.75"/>
    <row r="2245" s="84" customFormat="1" ht="12.75"/>
    <row r="2246" s="84" customFormat="1" ht="12.75"/>
    <row r="2247" s="84" customFormat="1" ht="12.75"/>
    <row r="2248" s="84" customFormat="1" ht="12.75"/>
    <row r="2249" s="84" customFormat="1" ht="12.75"/>
    <row r="2250" s="84" customFormat="1" ht="12.75"/>
    <row r="2251" s="84" customFormat="1" ht="12.75"/>
    <row r="2252" s="84" customFormat="1" ht="12.75"/>
    <row r="2253" s="84" customFormat="1" ht="12.75"/>
    <row r="2254" s="84" customFormat="1" ht="12.75"/>
    <row r="2255" s="84" customFormat="1" ht="12.75"/>
    <row r="2256" s="84" customFormat="1" ht="12.75"/>
    <row r="2257" s="84" customFormat="1" ht="12.75"/>
    <row r="2258" s="84" customFormat="1" ht="12.75"/>
    <row r="2259" s="84" customFormat="1" ht="12.75"/>
    <row r="2260" s="84" customFormat="1" ht="12.75"/>
    <row r="2261" s="84" customFormat="1" ht="12.75"/>
    <row r="2262" s="84" customFormat="1" ht="12.75"/>
    <row r="2263" s="84" customFormat="1" ht="12.75"/>
    <row r="2264" s="84" customFormat="1" ht="12.75"/>
    <row r="2265" s="84" customFormat="1" ht="12.75"/>
    <row r="2266" s="84" customFormat="1" ht="12.75"/>
    <row r="2267" s="84" customFormat="1" ht="12.75"/>
    <row r="2268" s="84" customFormat="1" ht="12.75"/>
    <row r="2269" s="84" customFormat="1" ht="12.75"/>
    <row r="2270" s="84" customFormat="1" ht="12.75"/>
    <row r="2271" s="84" customFormat="1" ht="12.75"/>
    <row r="2272" s="84" customFormat="1" ht="12.75"/>
    <row r="2273" s="84" customFormat="1" ht="12.75"/>
    <row r="2274" s="84" customFormat="1" ht="12.75"/>
    <row r="2275" s="84" customFormat="1" ht="12.75"/>
    <row r="2276" s="84" customFormat="1" ht="12.75"/>
    <row r="2277" s="84" customFormat="1" ht="12.75"/>
    <row r="2278" s="84" customFormat="1" ht="12.75"/>
    <row r="2279" s="84" customFormat="1" ht="12.75"/>
    <row r="2280" s="84" customFormat="1" ht="12.75"/>
    <row r="2281" s="84" customFormat="1" ht="12.75"/>
    <row r="2282" s="84" customFormat="1" ht="12.75"/>
    <row r="2283" s="84" customFormat="1" ht="12.75"/>
    <row r="2284" s="84" customFormat="1" ht="12.75"/>
    <row r="2285" s="84" customFormat="1" ht="12.75"/>
    <row r="2286" s="84" customFormat="1" ht="12.75"/>
    <row r="2287" s="84" customFormat="1" ht="12.75"/>
    <row r="2288" s="84" customFormat="1" ht="12.75"/>
    <row r="2289" s="84" customFormat="1" ht="12.75"/>
    <row r="2290" s="84" customFormat="1" ht="12.75"/>
    <row r="2291" s="84" customFormat="1" ht="12.75"/>
    <row r="2292" s="84" customFormat="1" ht="12.75"/>
    <row r="2293" s="84" customFormat="1" ht="12.75"/>
    <row r="2294" s="84" customFormat="1" ht="12.75"/>
    <row r="2295" s="84" customFormat="1" ht="12.75"/>
    <row r="2296" s="84" customFormat="1" ht="12.75"/>
    <row r="2297" s="84" customFormat="1" ht="12.75"/>
    <row r="2298" s="84" customFormat="1" ht="12.75"/>
    <row r="2299" s="84" customFormat="1" ht="12.75"/>
    <row r="2300" s="84" customFormat="1" ht="12.75"/>
    <row r="2301" s="84" customFormat="1" ht="12.75"/>
    <row r="2302" s="84" customFormat="1" ht="12.75"/>
    <row r="2303" s="84" customFormat="1" ht="12.75"/>
    <row r="2304" s="84" customFormat="1" ht="12.75"/>
    <row r="2305" s="84" customFormat="1" ht="12.75"/>
    <row r="2306" s="84" customFormat="1" ht="12.75"/>
    <row r="2307" s="84" customFormat="1" ht="12.75"/>
    <row r="2308" s="84" customFormat="1" ht="12.75"/>
    <row r="2309" s="84" customFormat="1" ht="12.75"/>
    <row r="2310" s="84" customFormat="1" ht="12.75"/>
    <row r="2311" s="84" customFormat="1" ht="12.75"/>
    <row r="2312" s="84" customFormat="1" ht="12.75"/>
    <row r="2313" s="84" customFormat="1" ht="12.75"/>
    <row r="2314" s="84" customFormat="1" ht="12.75"/>
    <row r="2315" s="84" customFormat="1" ht="12.75"/>
    <row r="2316" s="84" customFormat="1" ht="12.75"/>
    <row r="2317" s="84" customFormat="1" ht="12.75"/>
    <row r="2318" s="84" customFormat="1" ht="12.75"/>
    <row r="2319" s="84" customFormat="1" ht="12.75"/>
    <row r="2320" s="84" customFormat="1" ht="12.75"/>
    <row r="2321" s="84" customFormat="1" ht="12.75"/>
    <row r="2322" s="84" customFormat="1" ht="12.75"/>
    <row r="2323" s="84" customFormat="1" ht="12.75"/>
    <row r="2324" s="84" customFormat="1" ht="12.75"/>
    <row r="2325" s="84" customFormat="1" ht="12.75"/>
    <row r="2326" s="84" customFormat="1" ht="12.75"/>
    <row r="2327" s="84" customFormat="1" ht="12.75"/>
    <row r="2328" s="84" customFormat="1" ht="12.75"/>
    <row r="2329" s="84" customFormat="1" ht="12.75"/>
    <row r="2330" s="84" customFormat="1" ht="12.75"/>
    <row r="2331" s="84" customFormat="1" ht="12.75"/>
    <row r="2332" s="84" customFormat="1" ht="12.75"/>
    <row r="2333" s="84" customFormat="1" ht="12.75"/>
    <row r="2334" s="84" customFormat="1" ht="12.75"/>
    <row r="2335" s="84" customFormat="1" ht="12.75"/>
    <row r="2336" s="84" customFormat="1" ht="12.75"/>
    <row r="2337" s="84" customFormat="1" ht="12.75"/>
    <row r="2338" s="84" customFormat="1" ht="12.75"/>
    <row r="2339" s="84" customFormat="1" ht="12.75"/>
    <row r="2340" s="84" customFormat="1" ht="12.75"/>
    <row r="2341" s="84" customFormat="1" ht="12.75"/>
    <row r="2342" s="84" customFormat="1" ht="12.75"/>
    <row r="2343" s="84" customFormat="1" ht="12.75"/>
    <row r="2344" s="84" customFormat="1" ht="12.75"/>
    <row r="2345" s="84" customFormat="1" ht="12.75"/>
    <row r="2346" s="84" customFormat="1" ht="12.75"/>
    <row r="2347" s="84" customFormat="1" ht="12.75"/>
    <row r="2348" s="84" customFormat="1" ht="12.75"/>
    <row r="2349" s="84" customFormat="1" ht="12.75"/>
    <row r="2350" s="84" customFormat="1" ht="12.75"/>
    <row r="2351" s="84" customFormat="1" ht="12.75"/>
    <row r="2352" s="84" customFormat="1" ht="12.75"/>
    <row r="2353" s="84" customFormat="1" ht="12.75"/>
    <row r="2354" s="84" customFormat="1" ht="12.75"/>
    <row r="2355" s="84" customFormat="1" ht="12.75"/>
    <row r="2356" s="84" customFormat="1" ht="12.75"/>
    <row r="2357" s="84" customFormat="1" ht="12.75"/>
    <row r="2358" s="84" customFormat="1" ht="12.75"/>
    <row r="2359" s="84" customFormat="1" ht="12.75"/>
    <row r="2360" s="84" customFormat="1" ht="12.75"/>
    <row r="2361" s="84" customFormat="1" ht="12.75"/>
    <row r="2362" s="84" customFormat="1" ht="12.75"/>
    <row r="2363" s="84" customFormat="1" ht="12.75"/>
    <row r="2364" s="84" customFormat="1" ht="12.75"/>
    <row r="2365" s="84" customFormat="1" ht="12.75"/>
    <row r="2366" s="84" customFormat="1" ht="12.75"/>
    <row r="2367" s="84" customFormat="1" ht="12.75"/>
    <row r="2368" s="84" customFormat="1" ht="12.75"/>
    <row r="2369" s="84" customFormat="1" ht="12.75"/>
    <row r="2370" s="84" customFormat="1" ht="12.75"/>
    <row r="2371" s="84" customFormat="1" ht="12.75"/>
    <row r="2372" s="84" customFormat="1" ht="12.75"/>
    <row r="2373" s="84" customFormat="1" ht="12.75"/>
    <row r="2374" s="84" customFormat="1" ht="12.75"/>
    <row r="2375" s="84" customFormat="1" ht="12.75"/>
    <row r="2376" s="84" customFormat="1" ht="12.75"/>
    <row r="2377" s="84" customFormat="1" ht="12.75"/>
    <row r="2378" s="84" customFormat="1" ht="12.75"/>
    <row r="2379" s="84" customFormat="1" ht="12.75"/>
    <row r="2380" s="84" customFormat="1" ht="12.75"/>
    <row r="2381" s="84" customFormat="1" ht="12.75"/>
    <row r="2382" s="84" customFormat="1" ht="12.75"/>
    <row r="2383" s="84" customFormat="1" ht="12.75"/>
    <row r="2384" s="84" customFormat="1" ht="12.75"/>
    <row r="2385" s="84" customFormat="1" ht="12.75"/>
    <row r="2386" s="84" customFormat="1" ht="12.75"/>
    <row r="2387" s="84" customFormat="1" ht="12.75"/>
    <row r="2388" s="84" customFormat="1" ht="12.75"/>
    <row r="2389" s="84" customFormat="1" ht="12.75"/>
    <row r="2390" s="84" customFormat="1" ht="12.75"/>
    <row r="2391" s="84" customFormat="1" ht="12.75"/>
    <row r="2392" s="84" customFormat="1" ht="12.75"/>
    <row r="2393" s="84" customFormat="1" ht="12.75"/>
    <row r="2394" s="84" customFormat="1" ht="12.75"/>
    <row r="2395" s="84" customFormat="1" ht="12.75"/>
    <row r="2396" s="84" customFormat="1" ht="12.75"/>
    <row r="2397" s="84" customFormat="1" ht="12.75"/>
    <row r="2398" s="84" customFormat="1" ht="12.75"/>
    <row r="2399" s="84" customFormat="1" ht="12.75"/>
    <row r="2400" s="84" customFormat="1" ht="12.75"/>
    <row r="2401" s="84" customFormat="1" ht="12.75"/>
    <row r="2402" s="84" customFormat="1" ht="12.75"/>
    <row r="2403" s="84" customFormat="1" ht="12.75"/>
    <row r="2404" s="84" customFormat="1" ht="12.75"/>
    <row r="2405" s="84" customFormat="1" ht="12.75"/>
    <row r="2406" s="84" customFormat="1" ht="12.75"/>
    <row r="2407" s="84" customFormat="1" ht="12.75"/>
    <row r="2408" s="84" customFormat="1" ht="12.75"/>
    <row r="2409" s="84" customFormat="1" ht="12.75"/>
    <row r="2410" s="84" customFormat="1" ht="12.75"/>
    <row r="2411" s="84" customFormat="1" ht="12.75"/>
    <row r="2412" s="84" customFormat="1" ht="12.75"/>
    <row r="2413" s="84" customFormat="1" ht="12.75"/>
    <row r="2414" s="84" customFormat="1" ht="12.75"/>
    <row r="2415" s="84" customFormat="1" ht="12.75"/>
    <row r="2416" s="84" customFormat="1" ht="12.75"/>
    <row r="2417" s="84" customFormat="1" ht="12.75"/>
    <row r="2418" s="84" customFormat="1" ht="12.75"/>
    <row r="2419" s="84" customFormat="1" ht="12.75"/>
    <row r="2420" s="84" customFormat="1" ht="12.75"/>
    <row r="2421" s="84" customFormat="1" ht="12.75"/>
    <row r="2422" s="84" customFormat="1" ht="12.75"/>
    <row r="2423" s="84" customFormat="1" ht="12.75"/>
    <row r="2424" s="84" customFormat="1" ht="12.75"/>
    <row r="2425" s="84" customFormat="1" ht="12.75"/>
    <row r="2426" s="84" customFormat="1" ht="12.75"/>
    <row r="2427" s="84" customFormat="1" ht="12.75"/>
    <row r="2428" s="84" customFormat="1" ht="12.75"/>
    <row r="2429" s="84" customFormat="1" ht="12.75"/>
    <row r="2430" s="84" customFormat="1" ht="12.75"/>
    <row r="2431" s="84" customFormat="1" ht="12.75"/>
    <row r="2432" s="84" customFormat="1" ht="12.75"/>
    <row r="2433" s="84" customFormat="1" ht="12.75"/>
    <row r="2434" s="84" customFormat="1" ht="12.75"/>
    <row r="2435" s="84" customFormat="1" ht="12.75"/>
    <row r="2436" s="84" customFormat="1" ht="12.75"/>
    <row r="2437" s="84" customFormat="1" ht="12.75"/>
    <row r="2438" s="84" customFormat="1" ht="12.75"/>
    <row r="2439" s="84" customFormat="1" ht="12.75"/>
    <row r="2440" s="84" customFormat="1" ht="12.75"/>
    <row r="2441" s="84" customFormat="1" ht="12.75"/>
    <row r="2442" s="84" customFormat="1" ht="12.75"/>
    <row r="2443" s="84" customFormat="1" ht="12.75"/>
    <row r="2444" s="84" customFormat="1" ht="12.75"/>
    <row r="2445" s="84" customFormat="1" ht="12.75"/>
    <row r="2446" s="84" customFormat="1" ht="12.75"/>
    <row r="2447" s="84" customFormat="1" ht="12.75"/>
    <row r="2448" s="84" customFormat="1" ht="12.75"/>
    <row r="2449" s="84" customFormat="1" ht="12.75"/>
    <row r="2450" s="84" customFormat="1" ht="12.75"/>
    <row r="2451" s="84" customFormat="1" ht="12.75"/>
    <row r="2452" s="84" customFormat="1" ht="12.75"/>
    <row r="2453" s="84" customFormat="1" ht="12.75"/>
    <row r="2454" s="84" customFormat="1" ht="12.75"/>
    <row r="2455" s="84" customFormat="1" ht="12.75"/>
    <row r="2456" s="84" customFormat="1" ht="12.75"/>
    <row r="2457" s="84" customFormat="1" ht="12.75"/>
    <row r="2458" s="84" customFormat="1" ht="12.75"/>
    <row r="2459" s="84" customFormat="1" ht="12.75"/>
    <row r="2460" s="84" customFormat="1" ht="12.75"/>
    <row r="2461" s="84" customFormat="1" ht="12.75"/>
    <row r="2462" s="84" customFormat="1" ht="12.75"/>
    <row r="2463" s="84" customFormat="1" ht="12.75"/>
    <row r="2464" s="84" customFormat="1" ht="12.75"/>
    <row r="2465" s="84" customFormat="1" ht="12.75"/>
    <row r="2466" s="84" customFormat="1" ht="12.75"/>
    <row r="2467" s="84" customFormat="1" ht="12.75"/>
    <row r="2468" s="84" customFormat="1" ht="12.75"/>
    <row r="2469" s="84" customFormat="1" ht="12.75"/>
    <row r="2470" s="84" customFormat="1" ht="12.75"/>
    <row r="2471" s="84" customFormat="1" ht="12.75"/>
    <row r="2472" s="84" customFormat="1" ht="12.75"/>
    <row r="2473" s="84" customFormat="1" ht="12.75"/>
    <row r="2474" s="84" customFormat="1" ht="12.75"/>
    <row r="2475" s="84" customFormat="1" ht="12.75"/>
    <row r="2476" s="84" customFormat="1" ht="12.75"/>
    <row r="2477" s="84" customFormat="1" ht="12.75"/>
    <row r="2478" s="84" customFormat="1" ht="12.75"/>
    <row r="2479" s="84" customFormat="1" ht="12.75"/>
    <row r="2480" s="84" customFormat="1" ht="12.75"/>
    <row r="2481" s="84" customFormat="1" ht="12.75"/>
    <row r="2482" s="84" customFormat="1" ht="12.75"/>
    <row r="2483" s="84" customFormat="1" ht="12.75"/>
    <row r="2484" s="84" customFormat="1" ht="12.75"/>
    <row r="2485" s="84" customFormat="1" ht="12.75"/>
    <row r="2486" s="84" customFormat="1" ht="12.75"/>
    <row r="2487" s="84" customFormat="1" ht="12.75"/>
    <row r="2488" s="84" customFormat="1" ht="12.75"/>
    <row r="2489" s="84" customFormat="1" ht="12.75"/>
    <row r="2490" s="84" customFormat="1" ht="12.75"/>
    <row r="2491" s="84" customFormat="1" ht="12.75"/>
    <row r="2492" s="84" customFormat="1" ht="12.75"/>
    <row r="2493" s="84" customFormat="1" ht="12.75"/>
    <row r="2494" s="84" customFormat="1" ht="12.75"/>
    <row r="2495" s="84" customFormat="1" ht="12.75"/>
    <row r="2496" s="84" customFormat="1" ht="12.75"/>
    <row r="2497" s="84" customFormat="1" ht="12.75"/>
    <row r="2498" s="84" customFormat="1" ht="12.75"/>
    <row r="2499" s="84" customFormat="1" ht="12.75"/>
    <row r="2500" s="84" customFormat="1" ht="12.75"/>
    <row r="2501" s="84" customFormat="1" ht="12.75"/>
    <row r="2502" s="84" customFormat="1" ht="12.75"/>
    <row r="2503" s="84" customFormat="1" ht="12.75"/>
    <row r="2504" s="84" customFormat="1" ht="12.75"/>
    <row r="2505" s="84" customFormat="1" ht="12.75"/>
    <row r="2506" s="84" customFormat="1" ht="12.75"/>
    <row r="2507" s="84" customFormat="1" ht="12.75"/>
    <row r="2508" s="84" customFormat="1" ht="12.75"/>
    <row r="2509" s="84" customFormat="1" ht="12.75"/>
    <row r="2510" s="84" customFormat="1" ht="12.75"/>
    <row r="2511" s="84" customFormat="1" ht="12.75"/>
    <row r="2512" s="84" customFormat="1" ht="12.75"/>
    <row r="2513" s="84" customFormat="1" ht="12.75"/>
    <row r="2514" s="84" customFormat="1" ht="12.75"/>
    <row r="2515" s="84" customFormat="1" ht="12.75"/>
    <row r="2516" s="84" customFormat="1" ht="12.75"/>
    <row r="2517" s="84" customFormat="1" ht="12.75"/>
    <row r="2518" s="84" customFormat="1" ht="12.75"/>
    <row r="2519" s="84" customFormat="1" ht="12.75"/>
    <row r="2520" s="84" customFormat="1" ht="12.75"/>
    <row r="2521" s="84" customFormat="1" ht="12.75"/>
    <row r="2522" s="84" customFormat="1" ht="12.75"/>
    <row r="2523" s="84" customFormat="1" ht="12.75"/>
    <row r="2524" s="84" customFormat="1" ht="12.75"/>
    <row r="2525" s="84" customFormat="1" ht="12.75"/>
    <row r="2526" s="84" customFormat="1" ht="12.75"/>
    <row r="2527" s="84" customFormat="1" ht="12.75"/>
    <row r="2528" s="84" customFormat="1" ht="12.75"/>
    <row r="2529" s="84" customFormat="1" ht="12.75"/>
    <row r="2530" s="84" customFormat="1" ht="12.75"/>
    <row r="2531" s="84" customFormat="1" ht="12.75"/>
    <row r="2532" s="84" customFormat="1" ht="12.75"/>
    <row r="2533" s="84" customFormat="1" ht="12.75"/>
    <row r="2534" s="84" customFormat="1" ht="12.75"/>
    <row r="2535" s="84" customFormat="1" ht="12.75"/>
    <row r="2536" s="84" customFormat="1" ht="12.75"/>
    <row r="2537" s="84" customFormat="1" ht="12.75"/>
    <row r="2538" s="84" customFormat="1" ht="12.75"/>
    <row r="2539" s="84" customFormat="1" ht="12.75"/>
    <row r="2540" s="84" customFormat="1" ht="12.75"/>
    <row r="2541" s="84" customFormat="1" ht="12.75"/>
    <row r="2542" s="84" customFormat="1" ht="12.75"/>
    <row r="2543" s="84" customFormat="1" ht="12.75"/>
    <row r="2544" s="84" customFormat="1" ht="12.75"/>
    <row r="2545" s="84" customFormat="1" ht="12.75"/>
    <row r="2546" s="84" customFormat="1" ht="12.75"/>
    <row r="2547" s="84" customFormat="1" ht="12.75"/>
    <row r="2548" s="84" customFormat="1" ht="12.75"/>
    <row r="2549" s="84" customFormat="1" ht="12.75"/>
    <row r="2550" s="84" customFormat="1" ht="12.75"/>
    <row r="2551" s="84" customFormat="1" ht="12.75"/>
    <row r="2552" s="84" customFormat="1" ht="12.75"/>
    <row r="2553" s="84" customFormat="1" ht="12.75"/>
    <row r="2554" s="84" customFormat="1" ht="12.75"/>
    <row r="2555" s="84" customFormat="1" ht="12.75"/>
    <row r="2556" s="84" customFormat="1" ht="12.75"/>
    <row r="2557" s="84" customFormat="1" ht="12.75"/>
    <row r="2558" s="84" customFormat="1" ht="12.75"/>
    <row r="2559" s="84" customFormat="1" ht="12.75"/>
    <row r="2560" s="84" customFormat="1" ht="12.75"/>
    <row r="2561" s="84" customFormat="1" ht="12.75"/>
    <row r="2562" s="84" customFormat="1" ht="12.75"/>
    <row r="2563" s="84" customFormat="1" ht="12.75"/>
    <row r="2564" s="84" customFormat="1" ht="12.75"/>
    <row r="2565" s="84" customFormat="1" ht="12.75"/>
    <row r="2566" s="84" customFormat="1" ht="12.75"/>
    <row r="2567" s="84" customFormat="1" ht="12.75"/>
    <row r="2568" s="84" customFormat="1" ht="12.75"/>
    <row r="2569" s="84" customFormat="1" ht="12.75"/>
    <row r="2570" s="84" customFormat="1" ht="12.75"/>
    <row r="2571" s="84" customFormat="1" ht="12.75"/>
    <row r="2572" s="84" customFormat="1" ht="12.75"/>
    <row r="2573" s="84" customFormat="1" ht="12.75"/>
    <row r="2574" s="84" customFormat="1" ht="12.75"/>
    <row r="2575" s="84" customFormat="1" ht="12.75"/>
    <row r="2576" s="84" customFormat="1" ht="12.75"/>
    <row r="2577" s="84" customFormat="1" ht="12.75"/>
    <row r="2578" s="84" customFormat="1" ht="12.75"/>
    <row r="2579" s="84" customFormat="1" ht="12.75"/>
    <row r="2580" s="84" customFormat="1" ht="12.75"/>
    <row r="2581" s="84" customFormat="1" ht="12.75"/>
    <row r="2582" s="84" customFormat="1" ht="12.75"/>
    <row r="2583" s="84" customFormat="1" ht="12.75"/>
    <row r="2584" s="84" customFormat="1" ht="12.75"/>
    <row r="2585" s="84" customFormat="1" ht="12.75"/>
    <row r="2586" s="84" customFormat="1" ht="12.75"/>
    <row r="2587" s="84" customFormat="1" ht="12.75"/>
    <row r="2588" s="84" customFormat="1" ht="12.75"/>
    <row r="2589" s="84" customFormat="1" ht="12.75"/>
    <row r="2590" s="84" customFormat="1" ht="12.75"/>
    <row r="2591" s="84" customFormat="1" ht="12.75"/>
    <row r="2592" s="84" customFormat="1" ht="12.75"/>
    <row r="2593" s="84" customFormat="1" ht="12.75"/>
    <row r="2594" s="84" customFormat="1" ht="12.75"/>
    <row r="2595" s="84" customFormat="1" ht="12.75"/>
    <row r="2596" s="84" customFormat="1" ht="12.75"/>
    <row r="2597" s="84" customFormat="1" ht="12.75"/>
    <row r="2598" s="84" customFormat="1" ht="12.75"/>
    <row r="2599" s="84" customFormat="1" ht="12.75"/>
    <row r="2600" s="84" customFormat="1" ht="12.75"/>
    <row r="2601" s="84" customFormat="1" ht="12.75"/>
    <row r="2602" s="84" customFormat="1" ht="12.75"/>
    <row r="2603" s="84" customFormat="1" ht="12.75"/>
    <row r="2604" s="84" customFormat="1" ht="12.75"/>
    <row r="2605" s="84" customFormat="1" ht="12.75"/>
    <row r="2606" s="84" customFormat="1" ht="12.75"/>
    <row r="2607" s="84" customFormat="1" ht="12.75"/>
    <row r="2608" s="84" customFormat="1" ht="12.75"/>
    <row r="2609" s="84" customFormat="1" ht="12.75"/>
    <row r="2610" s="84" customFormat="1" ht="12.75"/>
    <row r="2611" s="84" customFormat="1" ht="12.75"/>
    <row r="2612" s="84" customFormat="1" ht="12.75"/>
    <row r="2613" s="84" customFormat="1" ht="12.75"/>
    <row r="2614" s="84" customFormat="1" ht="12.75"/>
    <row r="2615" s="84" customFormat="1" ht="12.75"/>
    <row r="2616" s="84" customFormat="1" ht="12.75"/>
    <row r="2617" s="84" customFormat="1" ht="12.75"/>
    <row r="2618" s="84" customFormat="1" ht="12.75"/>
    <row r="2619" s="84" customFormat="1" ht="12.75"/>
    <row r="2620" s="84" customFormat="1" ht="12.75"/>
    <row r="2621" s="84" customFormat="1" ht="12.75"/>
    <row r="2622" s="84" customFormat="1" ht="12.75"/>
    <row r="2623" s="84" customFormat="1" ht="12.75"/>
    <row r="2624" s="84" customFormat="1" ht="12.75"/>
    <row r="2625" s="84" customFormat="1" ht="12.75"/>
    <row r="2626" s="84" customFormat="1" ht="12.75"/>
    <row r="2627" s="84" customFormat="1" ht="12.75"/>
    <row r="2628" s="84" customFormat="1" ht="12.75"/>
    <row r="2629" s="84" customFormat="1" ht="12.75"/>
    <row r="2630" s="84" customFormat="1" ht="12.75"/>
    <row r="2631" s="84" customFormat="1" ht="12.75"/>
    <row r="2632" s="84" customFormat="1" ht="12.75"/>
    <row r="2633" s="84" customFormat="1" ht="12.75"/>
    <row r="2634" s="84" customFormat="1" ht="12.75"/>
    <row r="2635" s="84" customFormat="1" ht="12.75"/>
    <row r="2636" s="84" customFormat="1" ht="12.75"/>
    <row r="2637" s="84" customFormat="1" ht="12.75"/>
    <row r="2638" s="84" customFormat="1" ht="12.75"/>
    <row r="2639" s="84" customFormat="1" ht="12.75"/>
    <row r="2640" s="84" customFormat="1" ht="12.75"/>
    <row r="2641" s="84" customFormat="1" ht="12.75"/>
    <row r="2642" s="84" customFormat="1" ht="12.75"/>
    <row r="2643" s="84" customFormat="1" ht="12.75"/>
    <row r="2644" s="84" customFormat="1" ht="12.75"/>
    <row r="2645" s="84" customFormat="1" ht="12.75"/>
    <row r="2646" s="84" customFormat="1" ht="12.75"/>
    <row r="2647" s="84" customFormat="1" ht="12.75"/>
    <row r="2648" s="84" customFormat="1" ht="12.75"/>
    <row r="2649" s="84" customFormat="1" ht="12.75"/>
    <row r="2650" s="84" customFormat="1" ht="12.75"/>
    <row r="2651" s="84" customFormat="1" ht="12.75"/>
    <row r="2652" s="84" customFormat="1" ht="12.75"/>
    <row r="2653" s="84" customFormat="1" ht="12.75"/>
    <row r="2654" s="84" customFormat="1" ht="12.75"/>
    <row r="2655" s="84" customFormat="1" ht="12.75"/>
    <row r="2656" s="84" customFormat="1" ht="12.75"/>
    <row r="2657" s="84" customFormat="1" ht="12.75"/>
    <row r="2658" s="84" customFormat="1" ht="12.75"/>
    <row r="2659" s="84" customFormat="1" ht="12.75"/>
    <row r="2660" s="84" customFormat="1" ht="12.75"/>
    <row r="2661" s="84" customFormat="1" ht="12.75"/>
    <row r="2662" s="84" customFormat="1" ht="12.75"/>
    <row r="2663" s="84" customFormat="1" ht="12.75"/>
    <row r="2664" s="84" customFormat="1" ht="12.75"/>
    <row r="2665" s="84" customFormat="1" ht="12.75"/>
    <row r="2666" s="84" customFormat="1" ht="12.75"/>
    <row r="2667" s="84" customFormat="1" ht="12.75"/>
    <row r="2668" s="84" customFormat="1" ht="12.75"/>
    <row r="2669" s="84" customFormat="1" ht="12.75"/>
    <row r="2670" s="84" customFormat="1" ht="12.75"/>
    <row r="2671" s="84" customFormat="1" ht="12.75"/>
    <row r="2672" s="84" customFormat="1" ht="12.75"/>
    <row r="2673" s="84" customFormat="1" ht="12.75"/>
    <row r="2674" s="84" customFormat="1" ht="12.75"/>
    <row r="2675" s="84" customFormat="1" ht="12.75"/>
    <row r="2676" s="84" customFormat="1" ht="12.75"/>
    <row r="2677" s="84" customFormat="1" ht="12.75"/>
    <row r="2678" s="84" customFormat="1" ht="12.75"/>
    <row r="2679" s="84" customFormat="1" ht="12.75"/>
    <row r="2680" s="84" customFormat="1" ht="12.75"/>
    <row r="2681" s="84" customFormat="1" ht="12.75"/>
    <row r="2682" s="84" customFormat="1" ht="12.75"/>
    <row r="2683" s="84" customFormat="1" ht="12.75"/>
    <row r="2684" s="84" customFormat="1" ht="12.75"/>
    <row r="2685" s="84" customFormat="1" ht="12.75"/>
    <row r="2686" s="84" customFormat="1" ht="12.75"/>
    <row r="2687" s="84" customFormat="1" ht="12.75"/>
    <row r="2688" s="84" customFormat="1" ht="12.75"/>
    <row r="2689" s="84" customFormat="1" ht="12.75"/>
    <row r="2690" s="84" customFormat="1" ht="12.75"/>
    <row r="2691" s="84" customFormat="1" ht="12.75"/>
    <row r="2692" s="84" customFormat="1" ht="12.75"/>
    <row r="2693" s="84" customFormat="1" ht="12.75"/>
    <row r="2694" s="84" customFormat="1" ht="12.75"/>
    <row r="2695" s="84" customFormat="1" ht="12.75"/>
    <row r="2696" s="84" customFormat="1" ht="12.75"/>
    <row r="2697" s="84" customFormat="1" ht="12.75"/>
    <row r="2698" s="84" customFormat="1" ht="12.75"/>
    <row r="2699" s="84" customFormat="1" ht="12.75"/>
    <row r="2700" s="84" customFormat="1" ht="12.75"/>
    <row r="2701" s="84" customFormat="1" ht="12.75"/>
    <row r="2702" s="84" customFormat="1" ht="12.75"/>
    <row r="2703" s="84" customFormat="1" ht="12.75"/>
    <row r="2704" s="84" customFormat="1" ht="12.75"/>
    <row r="2705" s="84" customFormat="1" ht="12.75"/>
    <row r="2706" s="84" customFormat="1" ht="12.75"/>
    <row r="2707" s="84" customFormat="1" ht="12.75"/>
    <row r="2708" s="84" customFormat="1" ht="12.75"/>
    <row r="2709" s="84" customFormat="1" ht="12.75"/>
    <row r="2710" s="84" customFormat="1" ht="12.75"/>
    <row r="2711" s="84" customFormat="1" ht="12.75"/>
    <row r="2712" s="84" customFormat="1" ht="12.75"/>
    <row r="2713" s="84" customFormat="1" ht="12.75"/>
    <row r="2714" s="84" customFormat="1" ht="12.75"/>
    <row r="2715" s="84" customFormat="1" ht="12.75"/>
    <row r="2716" s="84" customFormat="1" ht="12.75"/>
    <row r="2717" s="84" customFormat="1" ht="12.75"/>
    <row r="2718" s="84" customFormat="1" ht="12.75"/>
    <row r="2719" s="84" customFormat="1" ht="12.75"/>
    <row r="2720" s="84" customFormat="1" ht="12.75"/>
    <row r="2721" s="84" customFormat="1" ht="12.75"/>
    <row r="2722" s="84" customFormat="1" ht="12.75"/>
    <row r="2723" s="84" customFormat="1" ht="12.75"/>
    <row r="2724" s="84" customFormat="1" ht="12.75"/>
    <row r="2725" s="84" customFormat="1" ht="12.75"/>
    <row r="2726" s="84" customFormat="1" ht="12.75"/>
    <row r="2727" s="84" customFormat="1" ht="12.75"/>
    <row r="2728" s="84" customFormat="1" ht="12.75"/>
    <row r="2729" s="84" customFormat="1" ht="12.75"/>
    <row r="2730" s="84" customFormat="1" ht="12.75"/>
    <row r="2731" s="84" customFormat="1" ht="12.75"/>
    <row r="2732" s="84" customFormat="1" ht="12.75"/>
    <row r="2733" s="84" customFormat="1" ht="12.75"/>
    <row r="2734" s="84" customFormat="1" ht="12.75"/>
    <row r="2735" s="84" customFormat="1" ht="12.75"/>
    <row r="2736" s="84" customFormat="1" ht="12.75"/>
    <row r="2737" s="84" customFormat="1" ht="12.75"/>
    <row r="2738" s="84" customFormat="1" ht="12.75"/>
    <row r="2739" s="84" customFormat="1" ht="12.75"/>
    <row r="2740" s="84" customFormat="1" ht="12.75"/>
    <row r="2741" s="84" customFormat="1" ht="12.75"/>
    <row r="2742" s="84" customFormat="1" ht="12.75"/>
    <row r="2743" s="84" customFormat="1" ht="12.75"/>
    <row r="2744" s="84" customFormat="1" ht="12.75"/>
    <row r="2745" s="84" customFormat="1" ht="12.75"/>
    <row r="2746" s="84" customFormat="1" ht="12.75"/>
    <row r="2747" s="84" customFormat="1" ht="12.75"/>
    <row r="2748" s="84" customFormat="1" ht="12.75"/>
    <row r="2749" s="84" customFormat="1" ht="12.75"/>
    <row r="2750" s="84" customFormat="1" ht="12.75"/>
    <row r="2751" s="84" customFormat="1" ht="12.75"/>
    <row r="2752" s="84" customFormat="1" ht="12.75"/>
    <row r="2753" s="84" customFormat="1" ht="12.75"/>
    <row r="2754" s="84" customFormat="1" ht="12.75"/>
    <row r="2755" s="84" customFormat="1" ht="12.75"/>
    <row r="2756" s="84" customFormat="1" ht="12.75"/>
    <row r="2757" s="84" customFormat="1" ht="12.75"/>
    <row r="2758" s="84" customFormat="1" ht="12.75"/>
    <row r="2759" s="84" customFormat="1" ht="12.75"/>
    <row r="2760" s="84" customFormat="1" ht="12.75"/>
    <row r="2761" s="84" customFormat="1" ht="12.75"/>
    <row r="2762" s="84" customFormat="1" ht="12.75"/>
    <row r="2763" s="84" customFormat="1" ht="12.75"/>
    <row r="2764" s="84" customFormat="1" ht="12.75"/>
    <row r="2765" s="84" customFormat="1" ht="12.75"/>
    <row r="2766" s="84" customFormat="1" ht="12.75"/>
    <row r="2767" s="84" customFormat="1" ht="12.75"/>
    <row r="2768" s="84" customFormat="1" ht="12.75"/>
    <row r="2769" s="84" customFormat="1" ht="12.75"/>
    <row r="2770" s="84" customFormat="1" ht="12.75"/>
    <row r="2771" s="84" customFormat="1" ht="12.75"/>
    <row r="2772" s="84" customFormat="1" ht="12.75"/>
    <row r="2773" s="84" customFormat="1" ht="12.75"/>
    <row r="2774" s="84" customFormat="1" ht="12.75"/>
    <row r="2775" s="84" customFormat="1" ht="12.75"/>
    <row r="2776" s="84" customFormat="1" ht="12.75"/>
    <row r="2777" s="84" customFormat="1" ht="12.75"/>
    <row r="2778" s="84" customFormat="1" ht="12.75"/>
    <row r="2779" s="84" customFormat="1" ht="12.75"/>
    <row r="2780" s="84" customFormat="1" ht="12.75"/>
    <row r="2781" s="84" customFormat="1" ht="12.75"/>
    <row r="2782" s="84" customFormat="1" ht="12.75"/>
    <row r="2783" s="84" customFormat="1" ht="12.75"/>
    <row r="2784" s="84" customFormat="1" ht="12.75"/>
    <row r="2785" s="84" customFormat="1" ht="12.75"/>
    <row r="2786" s="84" customFormat="1" ht="12.75"/>
    <row r="2787" s="84" customFormat="1" ht="12.75"/>
    <row r="2788" s="84" customFormat="1" ht="12.75"/>
    <row r="2789" s="84" customFormat="1" ht="12.75"/>
    <row r="2790" s="84" customFormat="1" ht="12.75"/>
    <row r="2791" s="84" customFormat="1" ht="12.75"/>
    <row r="2792" s="84" customFormat="1" ht="12.75"/>
    <row r="2793" s="84" customFormat="1" ht="12.75"/>
    <row r="2794" s="84" customFormat="1" ht="12.75"/>
    <row r="2795" s="84" customFormat="1" ht="12.75"/>
    <row r="2796" s="84" customFormat="1" ht="12.75"/>
    <row r="2797" s="84" customFormat="1" ht="12.75"/>
    <row r="2798" s="84" customFormat="1" ht="12.75"/>
    <row r="2799" s="84" customFormat="1" ht="12.75"/>
    <row r="2800" s="84" customFormat="1" ht="12.75"/>
    <row r="2801" s="84" customFormat="1" ht="12.75"/>
    <row r="2802" s="84" customFormat="1" ht="12.75"/>
    <row r="2803" s="84" customFormat="1" ht="12.75"/>
    <row r="2804" s="84" customFormat="1" ht="12.75"/>
    <row r="2805" s="84" customFormat="1" ht="12.75"/>
    <row r="2806" s="84" customFormat="1" ht="12.75"/>
    <row r="2807" s="84" customFormat="1" ht="12.75"/>
    <row r="2808" s="84" customFormat="1" ht="12.75"/>
    <row r="2809" s="84" customFormat="1" ht="12.75"/>
    <row r="2810" s="84" customFormat="1" ht="12.75"/>
    <row r="2811" s="84" customFormat="1" ht="12.75"/>
    <row r="2812" s="84" customFormat="1" ht="12.75"/>
    <row r="2813" s="84" customFormat="1" ht="12.75"/>
    <row r="2814" s="84" customFormat="1" ht="12.75"/>
    <row r="2815" s="84" customFormat="1" ht="12.75"/>
    <row r="2816" s="84" customFormat="1" ht="12.75"/>
    <row r="2817" s="84" customFormat="1" ht="12.75"/>
    <row r="2818" s="84" customFormat="1" ht="12.75"/>
    <row r="2819" s="84" customFormat="1" ht="12.75"/>
    <row r="2820" s="84" customFormat="1" ht="12.75"/>
    <row r="2821" s="84" customFormat="1" ht="12.75"/>
    <row r="2822" s="84" customFormat="1" ht="12.75"/>
    <row r="2823" s="84" customFormat="1" ht="12.75"/>
    <row r="2824" s="84" customFormat="1" ht="12.75"/>
    <row r="2825" s="84" customFormat="1" ht="12.75"/>
    <row r="2826" s="84" customFormat="1" ht="12.75"/>
    <row r="2827" s="84" customFormat="1" ht="12.75"/>
    <row r="2828" s="84" customFormat="1" ht="12.75"/>
    <row r="2829" s="84" customFormat="1" ht="12.75"/>
    <row r="2830" s="84" customFormat="1" ht="12.75"/>
    <row r="2831" s="84" customFormat="1" ht="12.75"/>
    <row r="2832" s="84" customFormat="1" ht="12.75"/>
    <row r="2833" s="84" customFormat="1" ht="12.75"/>
    <row r="2834" s="84" customFormat="1" ht="12.75"/>
    <row r="2835" s="84" customFormat="1" ht="12.75"/>
    <row r="2836" s="84" customFormat="1" ht="12.75"/>
    <row r="2837" s="84" customFormat="1" ht="12.75"/>
    <row r="2838" s="84" customFormat="1" ht="12.75"/>
    <row r="2839" s="84" customFormat="1" ht="12.75"/>
    <row r="2840" s="84" customFormat="1" ht="12.75"/>
    <row r="2841" s="84" customFormat="1" ht="12.75"/>
    <row r="2842" s="84" customFormat="1" ht="12.75"/>
    <row r="2843" s="84" customFormat="1" ht="12.75"/>
    <row r="2844" s="84" customFormat="1" ht="12.75"/>
    <row r="2845" s="84" customFormat="1" ht="12.75"/>
    <row r="2846" s="84" customFormat="1" ht="12.75"/>
    <row r="2847" s="84" customFormat="1" ht="12.75"/>
    <row r="2848" s="84" customFormat="1" ht="12.75"/>
    <row r="2849" s="84" customFormat="1" ht="12.75"/>
    <row r="2850" s="84" customFormat="1" ht="12.75"/>
    <row r="2851" s="84" customFormat="1" ht="12.75"/>
    <row r="2852" s="84" customFormat="1" ht="12.75"/>
    <row r="2853" s="84" customFormat="1" ht="12.75"/>
    <row r="2854" s="84" customFormat="1" ht="12.75"/>
    <row r="2855" s="84" customFormat="1" ht="12.75"/>
    <row r="2856" s="84" customFormat="1" ht="12.75"/>
    <row r="2857" s="84" customFormat="1" ht="12.75"/>
    <row r="2858" s="84" customFormat="1" ht="12.75"/>
    <row r="2859" s="84" customFormat="1" ht="12.75"/>
    <row r="2860" s="84" customFormat="1" ht="12.75"/>
    <row r="2861" s="84" customFormat="1" ht="12.75"/>
    <row r="2862" s="84" customFormat="1" ht="12.75"/>
    <row r="2863" s="84" customFormat="1" ht="12.75"/>
    <row r="2864" s="84" customFormat="1" ht="12.75"/>
    <row r="2865" s="84" customFormat="1" ht="12.75"/>
    <row r="2866" s="84" customFormat="1" ht="12.75"/>
    <row r="2867" s="84" customFormat="1" ht="12.75"/>
    <row r="2868" s="84" customFormat="1" ht="12.75"/>
    <row r="2869" s="84" customFormat="1" ht="12.75"/>
    <row r="2870" s="84" customFormat="1" ht="12.75"/>
    <row r="2871" s="84" customFormat="1" ht="12.75"/>
    <row r="2872" s="84" customFormat="1" ht="12.75"/>
    <row r="2873" s="84" customFormat="1" ht="12.75"/>
    <row r="2874" s="84" customFormat="1" ht="12.75"/>
    <row r="2875" s="84" customFormat="1" ht="12.75"/>
    <row r="2876" s="84" customFormat="1" ht="12.75"/>
    <row r="2877" s="84" customFormat="1" ht="12.75"/>
    <row r="2878" s="84" customFormat="1" ht="12.75"/>
    <row r="2879" s="84" customFormat="1" ht="12.75"/>
    <row r="2880" s="84" customFormat="1" ht="12.75"/>
    <row r="2881" s="84" customFormat="1" ht="12.75"/>
    <row r="2882" s="84" customFormat="1" ht="12.75"/>
    <row r="2883" s="84" customFormat="1" ht="12.75"/>
    <row r="2884" s="84" customFormat="1" ht="12.75"/>
    <row r="2885" s="84" customFormat="1" ht="12.75"/>
    <row r="2886" s="84" customFormat="1" ht="12.75"/>
    <row r="2887" s="84" customFormat="1" ht="12.75"/>
    <row r="2888" s="84" customFormat="1" ht="12.75"/>
    <row r="2889" s="84" customFormat="1" ht="12.75"/>
    <row r="2890" s="84" customFormat="1" ht="12.75"/>
    <row r="2891" s="84" customFormat="1" ht="12.75"/>
    <row r="2892" s="84" customFormat="1" ht="12.75"/>
    <row r="2893" s="84" customFormat="1" ht="12.75"/>
    <row r="2894" s="84" customFormat="1" ht="12.75"/>
    <row r="2895" s="84" customFormat="1" ht="12.75"/>
    <row r="2896" s="84" customFormat="1" ht="12.75"/>
    <row r="2897" s="84" customFormat="1" ht="12.75"/>
    <row r="2898" s="84" customFormat="1" ht="12.75"/>
    <row r="2899" s="84" customFormat="1" ht="12.75"/>
    <row r="2900" s="84" customFormat="1" ht="12.75"/>
    <row r="2901" s="84" customFormat="1" ht="12.75"/>
    <row r="2902" s="84" customFormat="1" ht="12.75"/>
    <row r="2903" s="84" customFormat="1" ht="12.75"/>
    <row r="2904" s="84" customFormat="1" ht="12.75"/>
    <row r="2905" s="84" customFormat="1" ht="12.75"/>
    <row r="2906" s="84" customFormat="1" ht="12.75"/>
    <row r="2907" s="84" customFormat="1" ht="12.75"/>
    <row r="2908" s="84" customFormat="1" ht="12.75"/>
    <row r="2909" s="84" customFormat="1" ht="12.75"/>
    <row r="2910" s="84" customFormat="1" ht="12.75"/>
    <row r="2911" s="84" customFormat="1" ht="12.75"/>
    <row r="2912" s="84" customFormat="1" ht="12.75"/>
    <row r="2913" s="84" customFormat="1" ht="12.75"/>
    <row r="2914" s="84" customFormat="1" ht="12.75"/>
    <row r="2915" s="84" customFormat="1" ht="12.75"/>
    <row r="2916" s="84" customFormat="1" ht="12.75"/>
    <row r="2917" s="84" customFormat="1" ht="12.75"/>
    <row r="2918" s="84" customFormat="1" ht="12.75"/>
    <row r="2919" s="84" customFormat="1" ht="12.75"/>
    <row r="2920" s="84" customFormat="1" ht="12.75"/>
    <row r="2921" s="84" customFormat="1" ht="12.75"/>
    <row r="2922" s="84" customFormat="1" ht="12.75"/>
    <row r="2923" s="84" customFormat="1" ht="12.75"/>
    <row r="2924" s="84" customFormat="1" ht="12.75"/>
    <row r="2925" s="84" customFormat="1" ht="12.75"/>
    <row r="2926" s="84" customFormat="1" ht="12.75"/>
    <row r="2927" s="84" customFormat="1" ht="12.75"/>
    <row r="2928" s="84" customFormat="1" ht="12.75"/>
    <row r="2929" s="84" customFormat="1" ht="12.75"/>
    <row r="2930" s="84" customFormat="1" ht="12.75"/>
    <row r="2931" s="84" customFormat="1" ht="12.75"/>
    <row r="2932" s="84" customFormat="1" ht="12.75"/>
    <row r="2933" s="84" customFormat="1" ht="12.75"/>
    <row r="2934" s="84" customFormat="1" ht="12.75"/>
    <row r="2935" s="84" customFormat="1" ht="12.75"/>
    <row r="2936" s="84" customFormat="1" ht="12.75"/>
    <row r="2937" s="84" customFormat="1" ht="12.75"/>
    <row r="2938" s="84" customFormat="1" ht="12.75"/>
    <row r="2939" s="84" customFormat="1" ht="12.75"/>
    <row r="2940" s="84" customFormat="1" ht="12.75"/>
    <row r="2941" s="84" customFormat="1" ht="12.75"/>
    <row r="2942" s="84" customFormat="1" ht="12.75"/>
    <row r="2943" s="84" customFormat="1" ht="12.75"/>
    <row r="2944" s="84" customFormat="1" ht="12.75"/>
    <row r="2945" s="84" customFormat="1" ht="12.75"/>
    <row r="2946" s="84" customFormat="1" ht="12.75"/>
    <row r="2947" s="84" customFormat="1" ht="12.75"/>
    <row r="2948" s="84" customFormat="1" ht="12.75"/>
    <row r="2949" s="84" customFormat="1" ht="12.75"/>
    <row r="2950" s="84" customFormat="1" ht="12.75"/>
    <row r="2951" s="84" customFormat="1" ht="12.75"/>
    <row r="2952" s="84" customFormat="1" ht="12.75"/>
    <row r="2953" s="84" customFormat="1" ht="12.75"/>
    <row r="2954" s="84" customFormat="1" ht="12.75"/>
    <row r="2955" s="84" customFormat="1" ht="12.75"/>
    <row r="2956" s="84" customFormat="1" ht="12.75"/>
    <row r="2957" s="84" customFormat="1" ht="12.75"/>
    <row r="2958" s="84" customFormat="1" ht="12.75"/>
    <row r="2959" s="84" customFormat="1" ht="12.75"/>
    <row r="2960" s="84" customFormat="1" ht="12.75"/>
    <row r="2961" s="84" customFormat="1" ht="12.75"/>
    <row r="2962" s="84" customFormat="1" ht="12.75"/>
    <row r="2963" s="84" customFormat="1" ht="12.75"/>
    <row r="2964" s="84" customFormat="1" ht="12.75"/>
    <row r="2965" s="84" customFormat="1" ht="12.75"/>
    <row r="2966" s="84" customFormat="1" ht="12.75"/>
    <row r="2967" s="84" customFormat="1" ht="12.75"/>
    <row r="2968" s="84" customFormat="1" ht="12.75"/>
    <row r="2969" s="84" customFormat="1" ht="12.75"/>
    <row r="2970" s="84" customFormat="1" ht="12.75"/>
    <row r="2971" s="84" customFormat="1" ht="12.75"/>
    <row r="2972" s="84" customFormat="1" ht="12.75"/>
    <row r="2973" s="84" customFormat="1" ht="12.75"/>
    <row r="2974" s="84" customFormat="1" ht="12.75"/>
    <row r="2975" s="84" customFormat="1" ht="12.75"/>
    <row r="2976" s="84" customFormat="1" ht="12.75"/>
    <row r="2977" s="84" customFormat="1" ht="12.75"/>
    <row r="2978" s="84" customFormat="1" ht="12.75"/>
    <row r="2979" s="84" customFormat="1" ht="12.75"/>
    <row r="2980" s="84" customFormat="1" ht="12.75"/>
    <row r="2981" s="84" customFormat="1" ht="12.75"/>
    <row r="2982" s="84" customFormat="1" ht="12.75"/>
    <row r="2983" s="84" customFormat="1" ht="12.75"/>
    <row r="2984" s="84" customFormat="1" ht="12.75"/>
    <row r="2985" s="84" customFormat="1" ht="12.75"/>
    <row r="2986" s="84" customFormat="1" ht="12.75"/>
    <row r="2987" s="84" customFormat="1" ht="12.75"/>
    <row r="2988" s="84" customFormat="1" ht="12.75"/>
    <row r="2989" s="84" customFormat="1" ht="12.75"/>
    <row r="2990" s="84" customFormat="1" ht="12.75"/>
    <row r="2991" s="84" customFormat="1" ht="12.75"/>
    <row r="2992" s="84" customFormat="1" ht="12.75"/>
    <row r="2993" s="84" customFormat="1" ht="12.75"/>
    <row r="2994" s="84" customFormat="1" ht="12.75"/>
    <row r="2995" s="84" customFormat="1" ht="12.75"/>
    <row r="2996" s="84" customFormat="1" ht="12.75"/>
    <row r="2997" s="84" customFormat="1" ht="12.75"/>
    <row r="2998" s="84" customFormat="1" ht="12.75"/>
    <row r="2999" s="84" customFormat="1" ht="12.75"/>
    <row r="3000" s="84" customFormat="1" ht="12.75"/>
    <row r="3001" s="84" customFormat="1" ht="12.75"/>
    <row r="3002" s="84" customFormat="1" ht="12.75"/>
    <row r="3003" s="84" customFormat="1" ht="12.75"/>
    <row r="3004" s="84" customFormat="1" ht="12.75"/>
    <row r="3005" s="84" customFormat="1" ht="12.75"/>
    <row r="3006" s="84" customFormat="1" ht="12.75"/>
    <row r="3007" s="84" customFormat="1" ht="12.75"/>
    <row r="3008" s="84" customFormat="1" ht="12.75"/>
    <row r="3009" s="84" customFormat="1" ht="12.75"/>
    <row r="3010" s="84" customFormat="1" ht="12.75"/>
    <row r="3011" s="84" customFormat="1" ht="12.75"/>
    <row r="3012" s="84" customFormat="1" ht="12.75"/>
    <row r="3013" s="84" customFormat="1" ht="12.75"/>
    <row r="3014" s="84" customFormat="1" ht="12.75"/>
    <row r="3015" s="84" customFormat="1" ht="12.75"/>
    <row r="3016" s="84" customFormat="1" ht="12.75"/>
    <row r="3017" s="84" customFormat="1" ht="12.75"/>
    <row r="3018" s="84" customFormat="1" ht="12.75"/>
    <row r="3019" s="84" customFormat="1" ht="12.75"/>
    <row r="3020" s="84" customFormat="1" ht="12.75"/>
    <row r="3021" s="84" customFormat="1" ht="12.75"/>
    <row r="3022" s="84" customFormat="1" ht="12.75"/>
    <row r="3023" s="84" customFormat="1" ht="12.75"/>
    <row r="3024" s="84" customFormat="1" ht="12.75"/>
    <row r="3025" s="84" customFormat="1" ht="12.75"/>
    <row r="3026" s="84" customFormat="1" ht="12.75"/>
    <row r="3027" s="84" customFormat="1" ht="12.75"/>
    <row r="3028" s="84" customFormat="1" ht="12.75"/>
    <row r="3029" s="84" customFormat="1" ht="12.75"/>
    <row r="3030" s="84" customFormat="1" ht="12.75"/>
    <row r="3031" s="84" customFormat="1" ht="12.75"/>
    <row r="3032" s="84" customFormat="1" ht="12.75"/>
    <row r="3033" s="84" customFormat="1" ht="12.75"/>
    <row r="3034" s="84" customFormat="1" ht="12.75"/>
    <row r="3035" s="84" customFormat="1" ht="12.75"/>
    <row r="3036" s="84" customFormat="1" ht="12.75"/>
    <row r="3037" s="84" customFormat="1" ht="12.75"/>
    <row r="3038" s="84" customFormat="1" ht="12.75"/>
    <row r="3039" s="84" customFormat="1" ht="12.75"/>
    <row r="3040" s="84" customFormat="1" ht="12.75"/>
    <row r="3041" s="84" customFormat="1" ht="12.75"/>
    <row r="3042" s="84" customFormat="1" ht="12.75"/>
    <row r="3043" s="84" customFormat="1" ht="12.75"/>
    <row r="3044" s="84" customFormat="1" ht="12.75"/>
    <row r="3045" s="84" customFormat="1" ht="12.75"/>
    <row r="3046" s="84" customFormat="1" ht="12.75"/>
    <row r="3047" s="84" customFormat="1" ht="12.75"/>
    <row r="3048" s="84" customFormat="1" ht="12.75"/>
    <row r="3049" s="84" customFormat="1" ht="12.75"/>
    <row r="3050" s="84" customFormat="1" ht="12.75"/>
    <row r="3051" s="84" customFormat="1" ht="12.75"/>
    <row r="3052" s="84" customFormat="1" ht="12.75"/>
    <row r="3053" s="84" customFormat="1" ht="12.75"/>
    <row r="3054" s="84" customFormat="1" ht="12.75"/>
    <row r="3055" s="84" customFormat="1" ht="12.75"/>
    <row r="3056" s="84" customFormat="1" ht="12.75"/>
    <row r="3057" s="84" customFormat="1" ht="12.75"/>
    <row r="3058" s="84" customFormat="1" ht="12.75"/>
    <row r="3059" s="84" customFormat="1" ht="12.75"/>
    <row r="3060" s="84" customFormat="1" ht="12.75"/>
    <row r="3061" s="84" customFormat="1" ht="12.75"/>
    <row r="3062" s="84" customFormat="1" ht="12.75"/>
    <row r="3063" s="84" customFormat="1" ht="12.75"/>
    <row r="3064" s="84" customFormat="1" ht="12.75"/>
    <row r="3065" s="84" customFormat="1" ht="12.75"/>
    <row r="3066" s="84" customFormat="1" ht="12.75"/>
    <row r="3067" s="84" customFormat="1" ht="12.75"/>
    <row r="3068" s="84" customFormat="1" ht="12.75"/>
    <row r="3069" s="84" customFormat="1" ht="12.75"/>
    <row r="3070" s="84" customFormat="1" ht="12.75"/>
    <row r="3071" s="84" customFormat="1" ht="12.75"/>
    <row r="3072" s="84" customFormat="1" ht="12.75"/>
    <row r="3073" s="84" customFormat="1" ht="12.75"/>
    <row r="3074" s="84" customFormat="1" ht="12.75"/>
    <row r="3075" s="84" customFormat="1" ht="12.75"/>
    <row r="3076" s="84" customFormat="1" ht="12.75"/>
    <row r="3077" s="84" customFormat="1" ht="12.75"/>
    <row r="3078" s="84" customFormat="1" ht="12.75"/>
    <row r="3079" s="84" customFormat="1" ht="12.75"/>
    <row r="3080" s="84" customFormat="1" ht="12.75"/>
    <row r="3081" s="84" customFormat="1" ht="12.75"/>
    <row r="3082" s="84" customFormat="1" ht="12.75"/>
    <row r="3083" s="84" customFormat="1" ht="12.75"/>
    <row r="3084" s="84" customFormat="1" ht="12.75"/>
    <row r="3085" s="84" customFormat="1" ht="12.75"/>
    <row r="3086" s="84" customFormat="1" ht="12.75"/>
    <row r="3087" s="84" customFormat="1" ht="12.75"/>
    <row r="3088" s="84" customFormat="1" ht="12.75"/>
    <row r="3089" s="84" customFormat="1" ht="12.75"/>
    <row r="3090" s="84" customFormat="1" ht="12.75"/>
    <row r="3091" s="84" customFormat="1" ht="12.75"/>
    <row r="3092" s="84" customFormat="1" ht="12.75"/>
    <row r="3093" s="84" customFormat="1" ht="12.75"/>
    <row r="3094" s="84" customFormat="1" ht="12.75"/>
    <row r="3095" s="84" customFormat="1" ht="12.75"/>
    <row r="3096" s="84" customFormat="1" ht="12.75"/>
    <row r="3097" s="84" customFormat="1" ht="12.75"/>
    <row r="3098" s="84" customFormat="1" ht="12.75"/>
    <row r="3099" s="84" customFormat="1" ht="12.75"/>
    <row r="3100" s="84" customFormat="1" ht="12.75"/>
    <row r="3101" s="84" customFormat="1" ht="12.75"/>
    <row r="3102" s="84" customFormat="1" ht="12.75"/>
    <row r="3103" s="84" customFormat="1" ht="12.75"/>
    <row r="3104" s="84" customFormat="1" ht="12.75"/>
    <row r="3105" s="84" customFormat="1" ht="12.75"/>
    <row r="3106" s="84" customFormat="1" ht="12.75"/>
    <row r="3107" s="84" customFormat="1" ht="12.75"/>
    <row r="3108" s="84" customFormat="1" ht="12.75"/>
    <row r="3109" s="84" customFormat="1" ht="12.75"/>
    <row r="3110" s="84" customFormat="1" ht="12.75"/>
    <row r="3111" s="84" customFormat="1" ht="12.75"/>
    <row r="3112" s="84" customFormat="1" ht="12.75"/>
    <row r="3113" s="84" customFormat="1" ht="12.75"/>
    <row r="3114" s="84" customFormat="1" ht="12.75"/>
    <row r="3115" s="84" customFormat="1" ht="12.75"/>
    <row r="3116" s="84" customFormat="1" ht="12.75"/>
    <row r="3117" s="84" customFormat="1" ht="12.75"/>
    <row r="3118" s="84" customFormat="1" ht="12.75"/>
    <row r="3119" s="84" customFormat="1" ht="12.75"/>
    <row r="3120" s="84" customFormat="1" ht="12.75"/>
    <row r="3121" s="84" customFormat="1" ht="12.75"/>
    <row r="3122" s="84" customFormat="1" ht="12.75"/>
    <row r="3123" s="84" customFormat="1" ht="12.75"/>
    <row r="3124" s="84" customFormat="1" ht="12.75"/>
    <row r="3125" s="84" customFormat="1" ht="12.75"/>
    <row r="3126" s="84" customFormat="1" ht="12.75"/>
    <row r="3127" s="84" customFormat="1" ht="12.75"/>
    <row r="3128" s="84" customFormat="1" ht="12.75"/>
    <row r="3129" s="84" customFormat="1" ht="12.75"/>
    <row r="3130" s="84" customFormat="1" ht="12.75"/>
    <row r="3131" s="84" customFormat="1" ht="12.75"/>
    <row r="3132" s="84" customFormat="1" ht="12.75"/>
    <row r="3133" s="84" customFormat="1" ht="12.75"/>
    <row r="3134" s="84" customFormat="1" ht="12.75"/>
    <row r="3135" s="84" customFormat="1" ht="12.75"/>
    <row r="3136" s="84" customFormat="1" ht="12.75"/>
    <row r="3137" s="84" customFormat="1" ht="12.75"/>
    <row r="3138" s="84" customFormat="1" ht="12.75"/>
    <row r="3139" s="84" customFormat="1" ht="12.75"/>
    <row r="3140" s="84" customFormat="1" ht="12.75"/>
    <row r="3141" s="84" customFormat="1" ht="12.75"/>
    <row r="3142" s="84" customFormat="1" ht="12.75"/>
    <row r="3143" s="84" customFormat="1" ht="12.75"/>
    <row r="3144" s="84" customFormat="1" ht="12.75"/>
    <row r="3145" s="84" customFormat="1" ht="12.75"/>
    <row r="3146" s="84" customFormat="1" ht="12.75"/>
    <row r="3147" s="84" customFormat="1" ht="12.75"/>
    <row r="3148" s="84" customFormat="1" ht="12.75"/>
    <row r="3149" s="84" customFormat="1" ht="12.75"/>
    <row r="3150" s="84" customFormat="1" ht="12.75"/>
    <row r="3151" s="84" customFormat="1" ht="12.75"/>
    <row r="3152" s="84" customFormat="1" ht="12.75"/>
    <row r="3153" s="84" customFormat="1" ht="12.75"/>
    <row r="3154" s="84" customFormat="1" ht="12.75"/>
    <row r="3155" s="84" customFormat="1" ht="12.75"/>
    <row r="3156" s="84" customFormat="1" ht="12.75"/>
    <row r="3157" s="84" customFormat="1" ht="12.75"/>
    <row r="3158" s="84" customFormat="1" ht="12.75"/>
    <row r="3159" s="84" customFormat="1" ht="12.75"/>
    <row r="3160" s="84" customFormat="1" ht="12.75"/>
    <row r="3161" s="84" customFormat="1" ht="12.75"/>
    <row r="3162" s="84" customFormat="1" ht="12.75"/>
    <row r="3163" s="84" customFormat="1" ht="12.75"/>
    <row r="3164" s="84" customFormat="1" ht="12.75"/>
    <row r="3165" s="84" customFormat="1" ht="12.75"/>
    <row r="3166" s="84" customFormat="1" ht="12.75"/>
    <row r="3167" s="84" customFormat="1" ht="12.75"/>
    <row r="3168" s="84" customFormat="1" ht="12.75"/>
    <row r="3169" s="84" customFormat="1" ht="12.75"/>
    <row r="3170" s="84" customFormat="1" ht="12.75"/>
    <row r="3171" s="84" customFormat="1" ht="12.75"/>
    <row r="3172" s="84" customFormat="1" ht="12.75"/>
    <row r="3173" s="84" customFormat="1" ht="12.75"/>
    <row r="3174" s="84" customFormat="1" ht="12.75"/>
    <row r="3175" s="84" customFormat="1" ht="12.75"/>
    <row r="3176" s="84" customFormat="1" ht="12.75"/>
    <row r="3177" s="84" customFormat="1" ht="12.75"/>
    <row r="3178" s="84" customFormat="1" ht="12.75"/>
    <row r="3179" s="84" customFormat="1" ht="12.75"/>
    <row r="3180" s="84" customFormat="1" ht="12.75"/>
    <row r="3181" s="84" customFormat="1" ht="12.75"/>
    <row r="3182" s="84" customFormat="1" ht="12.75"/>
    <row r="3183" s="84" customFormat="1" ht="12.75"/>
    <row r="3184" s="84" customFormat="1" ht="12.75"/>
    <row r="3185" s="84" customFormat="1" ht="12.75"/>
    <row r="3186" s="84" customFormat="1" ht="12.75"/>
    <row r="3187" s="84" customFormat="1" ht="12.75"/>
    <row r="3188" s="84" customFormat="1" ht="12.75"/>
    <row r="3189" s="84" customFormat="1" ht="12.75"/>
    <row r="3190" s="84" customFormat="1" ht="12.75"/>
    <row r="3191" s="84" customFormat="1" ht="12.75"/>
    <row r="3192" s="84" customFormat="1" ht="12.75"/>
    <row r="3193" s="84" customFormat="1" ht="12.75"/>
    <row r="3194" s="84" customFormat="1" ht="12.75"/>
    <row r="3195" s="84" customFormat="1" ht="12.75"/>
    <row r="3196" s="84" customFormat="1" ht="12.75"/>
    <row r="3197" s="84" customFormat="1" ht="12.75"/>
    <row r="3198" s="84" customFormat="1" ht="12.75"/>
    <row r="3199" s="84" customFormat="1" ht="12.75"/>
    <row r="3200" s="84" customFormat="1" ht="12.75"/>
    <row r="3201" s="84" customFormat="1" ht="12.75"/>
    <row r="3202" s="84" customFormat="1" ht="12.75"/>
    <row r="3203" s="84" customFormat="1" ht="12.75"/>
    <row r="3204" s="84" customFormat="1" ht="12.75"/>
    <row r="3205" s="84" customFormat="1" ht="12.75"/>
    <row r="3206" s="84" customFormat="1" ht="12.75"/>
    <row r="3207" s="84" customFormat="1" ht="12.75"/>
    <row r="3208" s="84" customFormat="1" ht="12.75"/>
    <row r="3209" s="84" customFormat="1" ht="12.75"/>
    <row r="3210" s="84" customFormat="1" ht="12.75"/>
    <row r="3211" s="84" customFormat="1" ht="12.75"/>
    <row r="3212" s="84" customFormat="1" ht="12.75"/>
    <row r="3213" s="84" customFormat="1" ht="12.75"/>
    <row r="3214" s="84" customFormat="1" ht="12.75"/>
    <row r="3215" s="84" customFormat="1" ht="12.75"/>
    <row r="3216" s="84" customFormat="1" ht="12.75"/>
    <row r="3217" s="84" customFormat="1" ht="12.75"/>
    <row r="3218" s="84" customFormat="1" ht="12.75"/>
    <row r="3219" s="84" customFormat="1" ht="12.75"/>
    <row r="3220" s="84" customFormat="1" ht="12.75"/>
    <row r="3221" s="84" customFormat="1" ht="12.75"/>
    <row r="3222" s="84" customFormat="1" ht="12.75"/>
    <row r="3223" s="84" customFormat="1" ht="12.75"/>
    <row r="3224" s="84" customFormat="1" ht="12.75"/>
    <row r="3225" s="84" customFormat="1" ht="12.75"/>
    <row r="3226" s="84" customFormat="1" ht="12.75"/>
    <row r="3227" s="84" customFormat="1" ht="12.75"/>
    <row r="3228" s="84" customFormat="1" ht="12.75"/>
    <row r="3229" s="84" customFormat="1" ht="12.75"/>
    <row r="3230" s="84" customFormat="1" ht="12.75"/>
    <row r="3231" s="84" customFormat="1" ht="12.75"/>
    <row r="3232" s="84" customFormat="1" ht="12.75"/>
    <row r="3233" s="84" customFormat="1" ht="12.75"/>
    <row r="3234" s="84" customFormat="1" ht="12.75"/>
    <row r="3235" s="84" customFormat="1" ht="12.75"/>
    <row r="3236" s="84" customFormat="1" ht="12.75"/>
    <row r="3237" s="84" customFormat="1" ht="12.75"/>
    <row r="3238" s="84" customFormat="1" ht="12.75"/>
    <row r="3239" s="84" customFormat="1" ht="12.75"/>
    <row r="3240" s="84" customFormat="1" ht="12.75"/>
    <row r="3241" s="84" customFormat="1" ht="12.75"/>
    <row r="3242" s="84" customFormat="1" ht="12.75"/>
    <row r="3243" s="84" customFormat="1" ht="12.75"/>
    <row r="3244" s="84" customFormat="1" ht="12.75"/>
    <row r="3245" s="84" customFormat="1" ht="12.75"/>
    <row r="3246" s="84" customFormat="1" ht="12.75"/>
    <row r="3247" s="84" customFormat="1" ht="12.75"/>
    <row r="3248" s="84" customFormat="1" ht="12.75"/>
    <row r="3249" s="84" customFormat="1" ht="12.75"/>
    <row r="3250" s="84" customFormat="1" ht="12.75"/>
    <row r="3251" s="84" customFormat="1" ht="12.75"/>
    <row r="3252" s="84" customFormat="1" ht="12.75"/>
    <row r="3253" s="84" customFormat="1" ht="12.75"/>
    <row r="3254" s="84" customFormat="1" ht="12.75"/>
    <row r="3255" s="84" customFormat="1" ht="12.75"/>
    <row r="3256" s="84" customFormat="1" ht="12.75"/>
    <row r="3257" s="84" customFormat="1" ht="12.75"/>
    <row r="3258" s="84" customFormat="1" ht="12.75"/>
    <row r="3259" s="84" customFormat="1" ht="12.75"/>
    <row r="3260" s="84" customFormat="1" ht="12.75"/>
    <row r="3261" s="84" customFormat="1" ht="12.75"/>
    <row r="3262" s="84" customFormat="1" ht="12.75"/>
    <row r="3263" s="84" customFormat="1" ht="12.75"/>
    <row r="3264" s="84" customFormat="1" ht="12.75"/>
    <row r="3265" s="84" customFormat="1" ht="12.75"/>
    <row r="3266" s="84" customFormat="1" ht="12.75"/>
    <row r="3267" s="84" customFormat="1" ht="12.75"/>
    <row r="3268" s="84" customFormat="1" ht="12.75"/>
    <row r="3269" s="84" customFormat="1" ht="12.75"/>
    <row r="3270" s="84" customFormat="1" ht="12.75"/>
    <row r="3271" s="84" customFormat="1" ht="12.75"/>
    <row r="3272" s="84" customFormat="1" ht="12.75"/>
    <row r="3273" s="84" customFormat="1" ht="12.75"/>
    <row r="3274" s="84" customFormat="1" ht="12.75"/>
    <row r="3275" s="84" customFormat="1" ht="12.75"/>
    <row r="3276" s="84" customFormat="1" ht="12.75"/>
    <row r="3277" s="84" customFormat="1" ht="12.75"/>
    <row r="3278" s="84" customFormat="1" ht="12.75"/>
    <row r="3279" s="84" customFormat="1" ht="12.75"/>
    <row r="3280" s="84" customFormat="1" ht="12.75"/>
    <row r="3281" s="84" customFormat="1" ht="12.75"/>
    <row r="3282" s="84" customFormat="1" ht="12.75"/>
    <row r="3283" s="84" customFormat="1" ht="12.75"/>
    <row r="3284" s="84" customFormat="1" ht="12.75"/>
    <row r="3285" s="84" customFormat="1" ht="12.75"/>
    <row r="3286" s="84" customFormat="1" ht="12.75"/>
    <row r="3287" s="84" customFormat="1" ht="12.75"/>
    <row r="3288" s="84" customFormat="1" ht="12.75"/>
    <row r="3289" s="84" customFormat="1" ht="12.75"/>
    <row r="3290" s="84" customFormat="1" ht="12.75"/>
    <row r="3291" s="84" customFormat="1" ht="12.75"/>
    <row r="3292" s="84" customFormat="1" ht="12.75"/>
    <row r="3293" s="84" customFormat="1" ht="12.75"/>
    <row r="3294" s="84" customFormat="1" ht="12.75"/>
    <row r="3295" s="84" customFormat="1" ht="12.75"/>
    <row r="3296" s="84" customFormat="1" ht="12.75"/>
    <row r="3297" s="84" customFormat="1" ht="12.75"/>
    <row r="3298" s="84" customFormat="1" ht="12.75"/>
    <row r="3299" s="84" customFormat="1" ht="12.75"/>
    <row r="3300" s="84" customFormat="1" ht="12.75"/>
    <row r="3301" s="84" customFormat="1" ht="12.75"/>
    <row r="3302" s="84" customFormat="1" ht="12.75"/>
    <row r="3303" s="84" customFormat="1" ht="12.75"/>
    <row r="3304" s="84" customFormat="1" ht="12.75"/>
    <row r="3305" s="84" customFormat="1" ht="12.75"/>
    <row r="3306" s="84" customFormat="1" ht="12.75"/>
    <row r="3307" s="84" customFormat="1" ht="12.75"/>
    <row r="3308" s="84" customFormat="1" ht="12.75"/>
    <row r="3309" s="84" customFormat="1" ht="12.75"/>
    <row r="3310" s="84" customFormat="1" ht="12.75"/>
    <row r="3311" s="84" customFormat="1" ht="12.75"/>
    <row r="3312" s="84" customFormat="1" ht="12.75"/>
    <row r="3313" s="84" customFormat="1" ht="12.75"/>
    <row r="3314" s="84" customFormat="1" ht="12.75"/>
    <row r="3315" s="84" customFormat="1" ht="12.75"/>
    <row r="3316" s="84" customFormat="1" ht="12.75"/>
    <row r="3317" s="84" customFormat="1" ht="12.75"/>
    <row r="3318" s="84" customFormat="1" ht="12.75"/>
    <row r="3319" s="84" customFormat="1" ht="12.75"/>
    <row r="3320" s="84" customFormat="1" ht="12.75"/>
    <row r="3321" s="84" customFormat="1" ht="12.75"/>
    <row r="3322" s="84" customFormat="1" ht="12.75"/>
    <row r="3323" s="84" customFormat="1" ht="12.75"/>
    <row r="3324" s="84" customFormat="1" ht="12.75"/>
    <row r="3325" s="84" customFormat="1" ht="12.75"/>
    <row r="3326" s="84" customFormat="1" ht="12.75"/>
    <row r="3327" s="84" customFormat="1" ht="12.75"/>
    <row r="3328" s="84" customFormat="1" ht="12.75"/>
    <row r="3329" s="84" customFormat="1" ht="12.75"/>
    <row r="3330" s="84" customFormat="1" ht="12.75"/>
    <row r="3331" s="84" customFormat="1" ht="12.75"/>
    <row r="3332" s="84" customFormat="1" ht="12.75"/>
    <row r="3333" s="84" customFormat="1" ht="12.75"/>
    <row r="3334" s="84" customFormat="1" ht="12.75"/>
    <row r="3335" s="84" customFormat="1" ht="12.75"/>
    <row r="3336" s="84" customFormat="1" ht="12.75"/>
    <row r="3337" s="84" customFormat="1" ht="12.75"/>
    <row r="3338" s="84" customFormat="1" ht="12.75"/>
    <row r="3339" s="84" customFormat="1" ht="12.75"/>
    <row r="3340" s="84" customFormat="1" ht="12.75"/>
    <row r="3341" s="84" customFormat="1" ht="12.75"/>
    <row r="3342" s="84" customFormat="1" ht="12.75"/>
    <row r="3343" s="84" customFormat="1" ht="12.75"/>
    <row r="3344" s="84" customFormat="1" ht="12.75"/>
    <row r="3345" s="84" customFormat="1" ht="12.75"/>
    <row r="3346" s="84" customFormat="1" ht="12.75"/>
    <row r="3347" s="84" customFormat="1" ht="12.75"/>
    <row r="3348" s="84" customFormat="1" ht="12.75"/>
    <row r="3349" s="84" customFormat="1" ht="12.75"/>
    <row r="3350" s="84" customFormat="1" ht="12.75"/>
    <row r="3351" s="84" customFormat="1" ht="12.75"/>
    <row r="3352" s="84" customFormat="1" ht="12.75"/>
    <row r="3353" s="84" customFormat="1" ht="12.75"/>
    <row r="3354" s="84" customFormat="1" ht="12.75"/>
    <row r="3355" s="84" customFormat="1" ht="12.75"/>
    <row r="3356" s="84" customFormat="1" ht="12.75"/>
    <row r="3357" s="84" customFormat="1" ht="12.75"/>
    <row r="3358" s="84" customFormat="1" ht="12.75"/>
    <row r="3359" s="84" customFormat="1" ht="12.75"/>
    <row r="3360" s="84" customFormat="1" ht="12.75"/>
    <row r="3361" s="84" customFormat="1" ht="12.75"/>
    <row r="3362" s="84" customFormat="1" ht="12.75"/>
    <row r="3363" s="84" customFormat="1" ht="12.75"/>
    <row r="3364" s="84" customFormat="1" ht="12.75"/>
    <row r="3365" s="84" customFormat="1" ht="12.75"/>
    <row r="3366" s="84" customFormat="1" ht="12.75"/>
    <row r="3367" s="84" customFormat="1" ht="12.75"/>
    <row r="3368" s="84" customFormat="1" ht="12.75"/>
    <row r="3369" s="84" customFormat="1" ht="12.75"/>
    <row r="3370" s="84" customFormat="1" ht="12.75"/>
    <row r="3371" s="84" customFormat="1" ht="12.75"/>
    <row r="3372" s="84" customFormat="1" ht="12.75"/>
    <row r="3373" s="84" customFormat="1" ht="12.75"/>
    <row r="3374" s="84" customFormat="1" ht="12.75"/>
    <row r="3375" s="84" customFormat="1" ht="12.75"/>
    <row r="3376" s="84" customFormat="1" ht="12.75"/>
    <row r="3377" s="84" customFormat="1" ht="12.75"/>
    <row r="3378" s="84" customFormat="1" ht="12.75"/>
    <row r="3379" s="84" customFormat="1" ht="12.75"/>
    <row r="3380" s="84" customFormat="1" ht="12.75"/>
    <row r="3381" s="84" customFormat="1" ht="12.75"/>
    <row r="3382" s="84" customFormat="1" ht="12.75"/>
    <row r="3383" s="84" customFormat="1" ht="12.75"/>
    <row r="3384" s="84" customFormat="1" ht="12.75"/>
    <row r="3385" s="84" customFormat="1" ht="12.75"/>
    <row r="3386" s="84" customFormat="1" ht="12.75"/>
    <row r="3387" s="84" customFormat="1" ht="12.75"/>
    <row r="3388" s="84" customFormat="1" ht="12.75"/>
    <row r="3389" s="84" customFormat="1" ht="12.75"/>
    <row r="3390" s="84" customFormat="1" ht="12.75"/>
    <row r="3391" s="84" customFormat="1" ht="12.75"/>
    <row r="3392" s="84" customFormat="1" ht="12.75"/>
    <row r="3393" s="84" customFormat="1" ht="12.75"/>
    <row r="3394" s="84" customFormat="1" ht="12.75"/>
    <row r="3395" s="84" customFormat="1" ht="12.75"/>
    <row r="3396" s="84" customFormat="1" ht="12.75"/>
    <row r="3397" s="84" customFormat="1" ht="12.75"/>
    <row r="3398" s="84" customFormat="1" ht="12.75"/>
    <row r="3399" s="84" customFormat="1" ht="12.75"/>
    <row r="3400" s="84" customFormat="1" ht="12.75"/>
    <row r="3401" s="84" customFormat="1" ht="12.75"/>
    <row r="3402" s="84" customFormat="1" ht="12.75"/>
    <row r="3403" s="84" customFormat="1" ht="12.75"/>
    <row r="3404" s="84" customFormat="1" ht="12.75"/>
    <row r="3405" s="84" customFormat="1" ht="12.75"/>
    <row r="3406" s="84" customFormat="1" ht="12.75"/>
    <row r="3407" s="84" customFormat="1" ht="12.75"/>
    <row r="3408" s="84" customFormat="1" ht="12.75"/>
    <row r="3409" s="84" customFormat="1" ht="12.75"/>
    <row r="3410" s="84" customFormat="1" ht="12.75"/>
    <row r="3411" s="84" customFormat="1" ht="12.75"/>
    <row r="3412" s="84" customFormat="1" ht="12.75"/>
    <row r="3413" s="84" customFormat="1" ht="12.75"/>
    <row r="3414" s="84" customFormat="1" ht="12.75"/>
    <row r="3415" s="84" customFormat="1" ht="12.75"/>
    <row r="3416" s="84" customFormat="1" ht="12.75"/>
    <row r="3417" s="84" customFormat="1" ht="12.75"/>
    <row r="3418" s="84" customFormat="1" ht="12.75"/>
    <row r="3419" s="84" customFormat="1" ht="12.75"/>
    <row r="3420" s="84" customFormat="1" ht="12.75"/>
    <row r="3421" s="84" customFormat="1" ht="12.75"/>
    <row r="3422" s="84" customFormat="1" ht="12.75"/>
    <row r="3423" s="84" customFormat="1" ht="12.75"/>
    <row r="3424" s="84" customFormat="1" ht="12.75"/>
    <row r="3425" s="84" customFormat="1" ht="12.75"/>
    <row r="3426" s="84" customFormat="1" ht="12.75"/>
    <row r="3427" s="84" customFormat="1" ht="12.75"/>
    <row r="3428" s="84" customFormat="1" ht="12.75"/>
    <row r="3429" s="84" customFormat="1" ht="12.75"/>
    <row r="3430" s="84" customFormat="1" ht="12.75"/>
    <row r="3431" s="84" customFormat="1" ht="12.75"/>
    <row r="3432" s="84" customFormat="1" ht="12.75"/>
    <row r="3433" s="84" customFormat="1" ht="12.75"/>
    <row r="3434" s="84" customFormat="1" ht="12.75"/>
    <row r="3435" s="84" customFormat="1" ht="12.75"/>
    <row r="3436" s="84" customFormat="1" ht="12.75"/>
    <row r="3437" s="84" customFormat="1" ht="12.75"/>
    <row r="3438" s="84" customFormat="1" ht="12.75"/>
    <row r="3439" s="84" customFormat="1" ht="12.75"/>
    <row r="3440" s="84" customFormat="1" ht="12.75"/>
    <row r="3441" s="84" customFormat="1" ht="12.75"/>
    <row r="3442" s="84" customFormat="1" ht="12.75"/>
    <row r="3443" s="84" customFormat="1" ht="12.75"/>
    <row r="3444" s="84" customFormat="1" ht="12.75"/>
    <row r="3445" s="84" customFormat="1" ht="12.75"/>
    <row r="3446" s="84" customFormat="1" ht="12.75"/>
    <row r="3447" s="84" customFormat="1" ht="12.75"/>
    <row r="3448" s="84" customFormat="1" ht="12.75"/>
    <row r="3449" s="84" customFormat="1" ht="12.75"/>
    <row r="3450" s="84" customFormat="1" ht="12.75"/>
    <row r="3451" s="84" customFormat="1" ht="12.75"/>
    <row r="3452" s="84" customFormat="1" ht="12.75"/>
    <row r="3453" s="84" customFormat="1" ht="12.75"/>
    <row r="3454" s="84" customFormat="1" ht="12.75"/>
    <row r="3455" s="84" customFormat="1" ht="12.75"/>
    <row r="3456" s="84" customFormat="1" ht="12.75"/>
    <row r="3457" s="84" customFormat="1" ht="12.75"/>
    <row r="3458" s="84" customFormat="1" ht="12.75"/>
    <row r="3459" s="84" customFormat="1" ht="12.75"/>
    <row r="3460" s="84" customFormat="1" ht="12.75"/>
    <row r="3461" s="84" customFormat="1" ht="12.75"/>
    <row r="3462" s="84" customFormat="1" ht="12.75"/>
    <row r="3463" s="84" customFormat="1" ht="12.75"/>
    <row r="3464" s="84" customFormat="1" ht="12.75"/>
    <row r="3465" s="84" customFormat="1" ht="12.75"/>
    <row r="3466" s="84" customFormat="1" ht="12.75"/>
    <row r="3467" s="84" customFormat="1" ht="12.75"/>
    <row r="3468" s="84" customFormat="1" ht="12.75"/>
    <row r="3469" s="84" customFormat="1" ht="12.75"/>
    <row r="3470" s="84" customFormat="1" ht="12.75"/>
    <row r="3471" s="84" customFormat="1" ht="12.75"/>
    <row r="3472" s="84" customFormat="1" ht="12.75"/>
    <row r="3473" s="84" customFormat="1" ht="12.75"/>
    <row r="3474" s="84" customFormat="1" ht="12.75"/>
    <row r="3475" s="84" customFormat="1" ht="12.75"/>
    <row r="3476" s="84" customFormat="1" ht="12.75"/>
    <row r="3477" s="84" customFormat="1" ht="12.75"/>
    <row r="3478" s="84" customFormat="1" ht="12.75"/>
    <row r="3479" s="84" customFormat="1" ht="12.75"/>
    <row r="3480" s="84" customFormat="1" ht="12.75"/>
    <row r="3481" s="84" customFormat="1" ht="12.75"/>
    <row r="3482" s="84" customFormat="1" ht="12.75"/>
    <row r="3483" s="84" customFormat="1" ht="12.75"/>
    <row r="3484" s="84" customFormat="1" ht="12.75"/>
    <row r="3485" s="84" customFormat="1" ht="12.75"/>
    <row r="3486" s="84" customFormat="1" ht="12.75"/>
    <row r="3487" s="84" customFormat="1" ht="12.75"/>
    <row r="3488" s="84" customFormat="1" ht="12.75"/>
    <row r="3489" s="84" customFormat="1" ht="12.75"/>
    <row r="3490" s="84" customFormat="1" ht="12.75"/>
    <row r="3491" s="84" customFormat="1" ht="12.75"/>
    <row r="3492" s="84" customFormat="1" ht="12.75"/>
    <row r="3493" s="84" customFormat="1" ht="12.75"/>
    <row r="3494" s="84" customFormat="1" ht="12.75"/>
    <row r="3495" s="84" customFormat="1" ht="12.75"/>
    <row r="3496" s="84" customFormat="1" ht="12.75"/>
    <row r="3497" s="84" customFormat="1" ht="12.75"/>
    <row r="3498" s="84" customFormat="1" ht="12.75"/>
    <row r="3499" s="84" customFormat="1" ht="12.75"/>
    <row r="3500" s="84" customFormat="1" ht="12.75"/>
    <row r="3501" s="84" customFormat="1" ht="12.75"/>
    <row r="3502" s="84" customFormat="1" ht="12.75"/>
    <row r="3503" s="84" customFormat="1" ht="12.75"/>
    <row r="3504" s="84" customFormat="1" ht="12.75"/>
    <row r="3505" s="84" customFormat="1" ht="12.75"/>
    <row r="3506" s="84" customFormat="1" ht="12.75"/>
    <row r="3507" s="84" customFormat="1" ht="12.75"/>
    <row r="3508" s="84" customFormat="1" ht="12.75"/>
    <row r="3509" s="84" customFormat="1" ht="12.75"/>
    <row r="3510" s="84" customFormat="1" ht="12.75"/>
    <row r="3511" s="84" customFormat="1" ht="12.75"/>
    <row r="3512" s="84" customFormat="1" ht="12.75"/>
    <row r="3513" s="84" customFormat="1" ht="12.75"/>
    <row r="3514" s="84" customFormat="1" ht="12.75"/>
    <row r="3515" s="84" customFormat="1" ht="12.75"/>
    <row r="3516" s="84" customFormat="1" ht="12.75"/>
    <row r="3517" s="84" customFormat="1" ht="12.75"/>
    <row r="3518" s="84" customFormat="1" ht="12.75"/>
    <row r="3519" s="84" customFormat="1" ht="12.75"/>
    <row r="3520" s="84" customFormat="1" ht="12.75"/>
    <row r="3521" s="84" customFormat="1" ht="12.75"/>
    <row r="3522" s="84" customFormat="1" ht="12.75"/>
    <row r="3523" s="84" customFormat="1" ht="12.75"/>
    <row r="3524" s="84" customFormat="1" ht="12.75"/>
    <row r="3525" s="84" customFormat="1" ht="12.75"/>
    <row r="3526" s="84" customFormat="1" ht="12.75"/>
    <row r="3527" s="84" customFormat="1" ht="12.75"/>
    <row r="3528" s="84" customFormat="1" ht="12.75"/>
    <row r="3529" s="84" customFormat="1" ht="12.75"/>
    <row r="3530" s="84" customFormat="1" ht="12.75"/>
    <row r="3531" s="84" customFormat="1" ht="12.75"/>
    <row r="3532" s="84" customFormat="1" ht="12.75"/>
    <row r="3533" s="84" customFormat="1" ht="12.75"/>
    <row r="3534" s="84" customFormat="1" ht="12.75"/>
    <row r="3535" s="84" customFormat="1" ht="12.75"/>
    <row r="3536" s="84" customFormat="1" ht="12.75"/>
    <row r="3537" s="84" customFormat="1" ht="12.75"/>
    <row r="3538" s="84" customFormat="1" ht="12.75"/>
    <row r="3539" s="84" customFormat="1" ht="12.75"/>
    <row r="3540" s="84" customFormat="1" ht="12.75"/>
    <row r="3541" s="84" customFormat="1" ht="12.75"/>
    <row r="3542" s="84" customFormat="1" ht="12.75"/>
    <row r="3543" s="84" customFormat="1" ht="12.75"/>
    <row r="3544" s="84" customFormat="1" ht="12.75"/>
    <row r="3545" s="84" customFormat="1" ht="12.75"/>
    <row r="3546" s="84" customFormat="1" ht="12.75"/>
    <row r="3547" s="84" customFormat="1" ht="12.75"/>
    <row r="3548" s="84" customFormat="1" ht="12.75"/>
    <row r="3549" s="84" customFormat="1" ht="12.75"/>
    <row r="3550" s="84" customFormat="1" ht="12.75"/>
    <row r="3551" s="84" customFormat="1" ht="12.75"/>
    <row r="3552" s="84" customFormat="1" ht="12.75"/>
    <row r="3553" s="84" customFormat="1" ht="12.75"/>
    <row r="3554" s="84" customFormat="1" ht="12.75"/>
    <row r="3555" s="84" customFormat="1" ht="12.75"/>
    <row r="3556" s="84" customFormat="1" ht="12.75"/>
    <row r="3557" s="84" customFormat="1" ht="12.75"/>
    <row r="3558" s="84" customFormat="1" ht="12.75"/>
    <row r="3559" s="84" customFormat="1" ht="12.75"/>
    <row r="3560" s="84" customFormat="1" ht="12.75"/>
    <row r="3561" s="84" customFormat="1" ht="12.75"/>
    <row r="3562" s="84" customFormat="1" ht="12.75"/>
    <row r="3563" s="84" customFormat="1" ht="12.75"/>
    <row r="3564" s="84" customFormat="1" ht="12.75"/>
    <row r="3565" s="84" customFormat="1" ht="12.75"/>
    <row r="3566" s="84" customFormat="1" ht="12.75"/>
    <row r="3567" s="84" customFormat="1" ht="12.75"/>
    <row r="3568" s="84" customFormat="1" ht="12.75"/>
    <row r="3569" s="84" customFormat="1" ht="12.75"/>
    <row r="3570" s="84" customFormat="1" ht="12.75"/>
    <row r="3571" s="84" customFormat="1" ht="12.75"/>
    <row r="3572" s="84" customFormat="1" ht="12.75"/>
    <row r="3573" s="84" customFormat="1" ht="12.75"/>
    <row r="3574" s="84" customFormat="1" ht="12.75"/>
    <row r="3575" s="84" customFormat="1" ht="12.75"/>
    <row r="3576" s="84" customFormat="1" ht="12.75"/>
    <row r="3577" s="84" customFormat="1" ht="12.75"/>
    <row r="3578" s="84" customFormat="1" ht="12.75"/>
    <row r="3579" s="84" customFormat="1" ht="12.75"/>
    <row r="3580" s="84" customFormat="1" ht="12.75"/>
    <row r="3581" s="84" customFormat="1" ht="12.75"/>
    <row r="3582" s="84" customFormat="1" ht="12.75"/>
    <row r="3583" s="84" customFormat="1" ht="12.75"/>
    <row r="3584" s="84" customFormat="1" ht="12.75"/>
    <row r="3585" s="84" customFormat="1" ht="12.75"/>
    <row r="3586" s="84" customFormat="1" ht="12.75"/>
    <row r="3587" s="84" customFormat="1" ht="12.75"/>
    <row r="3588" s="84" customFormat="1" ht="12.75"/>
    <row r="3589" s="84" customFormat="1" ht="12.75"/>
    <row r="3590" s="84" customFormat="1" ht="12.75"/>
    <row r="3591" s="84" customFormat="1" ht="12.75"/>
    <row r="3592" s="84" customFormat="1" ht="12.75"/>
    <row r="3593" s="84" customFormat="1" ht="12.75"/>
    <row r="3594" s="84" customFormat="1" ht="12.75"/>
    <row r="3595" s="84" customFormat="1" ht="12.75"/>
    <row r="3596" s="84" customFormat="1" ht="12.75"/>
    <row r="3597" s="84" customFormat="1" ht="12.75"/>
    <row r="3598" s="84" customFormat="1" ht="12.75"/>
    <row r="3599" s="84" customFormat="1" ht="12.75"/>
    <row r="3600" s="84" customFormat="1" ht="12.75"/>
    <row r="3601" s="84" customFormat="1" ht="12.75"/>
    <row r="3602" s="84" customFormat="1" ht="12.75"/>
    <row r="3603" s="84" customFormat="1" ht="12.75"/>
    <row r="3604" s="84" customFormat="1" ht="12.75"/>
    <row r="3605" s="84" customFormat="1" ht="12.75"/>
    <row r="3606" s="84" customFormat="1" ht="12.75"/>
    <row r="3607" s="84" customFormat="1" ht="12.75"/>
    <row r="3608" s="84" customFormat="1" ht="12.75"/>
    <row r="3609" s="84" customFormat="1" ht="12.75"/>
    <row r="3610" s="84" customFormat="1" ht="12.75"/>
    <row r="3611" s="84" customFormat="1" ht="12.75"/>
    <row r="3612" s="84" customFormat="1" ht="12.75"/>
    <row r="3613" s="84" customFormat="1" ht="12.75"/>
    <row r="3614" s="84" customFormat="1" ht="12.75"/>
    <row r="3615" s="84" customFormat="1" ht="12.75"/>
    <row r="3616" s="84" customFormat="1" ht="12.75"/>
    <row r="3617" s="84" customFormat="1" ht="12.75"/>
    <row r="3618" s="84" customFormat="1" ht="12.75"/>
    <row r="3619" s="84" customFormat="1" ht="12.75"/>
    <row r="3620" s="84" customFormat="1" ht="12.75"/>
    <row r="3621" s="84" customFormat="1" ht="12.75"/>
    <row r="3622" s="84" customFormat="1" ht="12.75"/>
    <row r="3623" s="84" customFormat="1" ht="12.75"/>
    <row r="3624" s="84" customFormat="1" ht="12.75"/>
    <row r="3625" s="84" customFormat="1" ht="12.75"/>
    <row r="3626" s="84" customFormat="1" ht="12.75"/>
    <row r="3627" s="84" customFormat="1" ht="12.75"/>
    <row r="3628" s="84" customFormat="1" ht="12.75"/>
    <row r="3629" s="84" customFormat="1" ht="12.75"/>
    <row r="3630" s="84" customFormat="1" ht="12.75"/>
    <row r="3631" s="84" customFormat="1" ht="12.75"/>
    <row r="3632" s="84" customFormat="1" ht="12.75"/>
    <row r="3633" s="84" customFormat="1" ht="12.75"/>
    <row r="3634" s="84" customFormat="1" ht="12.75"/>
    <row r="3635" s="84" customFormat="1" ht="12.75"/>
    <row r="3636" s="84" customFormat="1" ht="12.75"/>
    <row r="3637" s="84" customFormat="1" ht="12.75"/>
    <row r="3638" s="84" customFormat="1" ht="12.75"/>
    <row r="3639" s="84" customFormat="1" ht="12.75"/>
    <row r="3640" s="84" customFormat="1" ht="12.75"/>
    <row r="3641" s="84" customFormat="1" ht="12.75"/>
    <row r="3642" s="84" customFormat="1" ht="12.75"/>
    <row r="3643" s="84" customFormat="1" ht="12.75"/>
    <row r="3644" s="84" customFormat="1" ht="12.75"/>
    <row r="3645" s="84" customFormat="1" ht="12.75"/>
    <row r="3646" s="84" customFormat="1" ht="12.75"/>
    <row r="3647" s="84" customFormat="1" ht="12.75"/>
    <row r="3648" s="84" customFormat="1" ht="12.75"/>
    <row r="3649" s="84" customFormat="1" ht="12.75"/>
    <row r="3650" s="84" customFormat="1" ht="12.75"/>
    <row r="3651" s="84" customFormat="1" ht="12.75"/>
    <row r="3652" s="84" customFormat="1" ht="12.75"/>
    <row r="3653" s="84" customFormat="1" ht="12.75"/>
    <row r="3654" s="84" customFormat="1" ht="12.75"/>
    <row r="3655" s="84" customFormat="1" ht="12.75"/>
    <row r="3656" s="84" customFormat="1" ht="12.75"/>
    <row r="3657" s="84" customFormat="1" ht="12.75"/>
    <row r="3658" s="84" customFormat="1" ht="12.75"/>
    <row r="3659" s="84" customFormat="1" ht="12.75"/>
    <row r="3660" s="84" customFormat="1" ht="12.75"/>
    <row r="3661" s="84" customFormat="1" ht="12.75"/>
    <row r="3662" s="84" customFormat="1" ht="12.75"/>
    <row r="3663" s="84" customFormat="1" ht="12.75"/>
    <row r="3664" s="84" customFormat="1" ht="12.75"/>
    <row r="3665" s="84" customFormat="1" ht="12.75"/>
    <row r="3666" s="84" customFormat="1" ht="12.75"/>
    <row r="3667" s="84" customFormat="1" ht="12.75"/>
    <row r="3668" s="84" customFormat="1" ht="12.75"/>
    <row r="3669" s="84" customFormat="1" ht="12.75"/>
    <row r="3670" s="84" customFormat="1" ht="12.75"/>
    <row r="3671" s="84" customFormat="1" ht="12.75"/>
    <row r="3672" s="84" customFormat="1" ht="12.75"/>
    <row r="3673" s="84" customFormat="1" ht="12.75"/>
    <row r="3674" s="84" customFormat="1" ht="12.75"/>
    <row r="3675" s="84" customFormat="1" ht="12.75"/>
    <row r="3676" s="84" customFormat="1" ht="12.75"/>
    <row r="3677" s="84" customFormat="1" ht="12.75"/>
    <row r="3678" s="84" customFormat="1" ht="12.75"/>
    <row r="3679" s="84" customFormat="1" ht="12.75"/>
    <row r="3680" s="84" customFormat="1" ht="12.75"/>
    <row r="3681" s="84" customFormat="1" ht="12.75"/>
    <row r="3682" s="84" customFormat="1" ht="12.75"/>
    <row r="3683" s="84" customFormat="1" ht="12.75"/>
    <row r="3684" s="84" customFormat="1" ht="12.75"/>
    <row r="3685" s="84" customFormat="1" ht="12.75"/>
    <row r="3686" s="84" customFormat="1" ht="12.75"/>
    <row r="3687" s="84" customFormat="1" ht="12.75"/>
    <row r="3688" s="84" customFormat="1" ht="12.75"/>
    <row r="3689" s="84" customFormat="1" ht="12.75"/>
    <row r="3690" s="84" customFormat="1" ht="12.75"/>
    <row r="3691" s="84" customFormat="1" ht="12.75"/>
    <row r="3692" s="84" customFormat="1" ht="12.75"/>
    <row r="3693" s="84" customFormat="1" ht="12.75"/>
    <row r="3694" s="84" customFormat="1" ht="12.75"/>
    <row r="3695" s="84" customFormat="1" ht="12.75"/>
    <row r="3696" s="84" customFormat="1" ht="12.75"/>
    <row r="3697" s="84" customFormat="1" ht="12.75"/>
    <row r="3698" s="84" customFormat="1" ht="12.75"/>
    <row r="3699" s="84" customFormat="1" ht="12.75"/>
    <row r="3700" s="84" customFormat="1" ht="12.75"/>
    <row r="3701" s="84" customFormat="1" ht="12.75"/>
    <row r="3702" s="84" customFormat="1" ht="12.75"/>
    <row r="3703" s="84" customFormat="1" ht="12.75"/>
    <row r="3704" s="84" customFormat="1" ht="12.75"/>
    <row r="3705" s="84" customFormat="1" ht="12.75"/>
    <row r="3706" s="84" customFormat="1" ht="12.75"/>
    <row r="3707" s="84" customFormat="1" ht="12.75"/>
    <row r="3708" s="84" customFormat="1" ht="12.75"/>
    <row r="3709" s="84" customFormat="1" ht="12.75"/>
    <row r="3710" s="84" customFormat="1" ht="12.75"/>
    <row r="3711" s="84" customFormat="1" ht="12.75"/>
    <row r="3712" s="84" customFormat="1" ht="12.75"/>
    <row r="3713" s="84" customFormat="1" ht="12.75"/>
    <row r="3714" s="84" customFormat="1" ht="12.75"/>
    <row r="3715" s="84" customFormat="1" ht="12.75"/>
    <row r="3716" s="84" customFormat="1" ht="12.75"/>
    <row r="3717" s="84" customFormat="1" ht="12.75"/>
    <row r="3718" s="84" customFormat="1" ht="12.75"/>
    <row r="3719" s="84" customFormat="1" ht="12.75"/>
    <row r="3720" s="84" customFormat="1" ht="12.75"/>
    <row r="3721" s="84" customFormat="1" ht="12.75"/>
    <row r="3722" s="84" customFormat="1" ht="12.75"/>
    <row r="3723" s="84" customFormat="1" ht="12.75"/>
    <row r="3724" s="84" customFormat="1" ht="12.75"/>
    <row r="3725" s="84" customFormat="1" ht="12.75"/>
    <row r="3726" s="84" customFormat="1" ht="12.75"/>
    <row r="3727" s="84" customFormat="1" ht="12.75"/>
    <row r="3728" s="84" customFormat="1" ht="12.75"/>
    <row r="3729" s="84" customFormat="1" ht="12.75"/>
    <row r="3730" s="84" customFormat="1" ht="12.75"/>
    <row r="3731" s="84" customFormat="1" ht="12.75"/>
    <row r="3732" s="84" customFormat="1" ht="12.75"/>
    <row r="3733" s="84" customFormat="1" ht="12.75"/>
    <row r="3734" s="84" customFormat="1" ht="12.75"/>
    <row r="3735" s="84" customFormat="1" ht="12.75"/>
    <row r="3736" s="84" customFormat="1" ht="12.75"/>
    <row r="3737" s="84" customFormat="1" ht="12.75"/>
    <row r="3738" s="84" customFormat="1" ht="12.75"/>
    <row r="3739" s="84" customFormat="1" ht="12.75"/>
    <row r="3740" s="84" customFormat="1" ht="12.75"/>
    <row r="3741" s="84" customFormat="1" ht="12.75"/>
    <row r="3742" s="84" customFormat="1" ht="12.75"/>
    <row r="3743" s="84" customFormat="1" ht="12.75"/>
    <row r="3744" s="84" customFormat="1" ht="12.75"/>
    <row r="3745" s="84" customFormat="1" ht="12.75"/>
    <row r="3746" s="84" customFormat="1" ht="12.75"/>
    <row r="3747" s="84" customFormat="1" ht="12.75"/>
    <row r="3748" s="84" customFormat="1" ht="12.75"/>
    <row r="3749" s="84" customFormat="1" ht="12.75"/>
    <row r="3750" s="84" customFormat="1" ht="12.75"/>
    <row r="3751" s="84" customFormat="1" ht="12.75"/>
    <row r="3752" s="84" customFormat="1" ht="12.75"/>
    <row r="3753" s="84" customFormat="1" ht="12.75"/>
    <row r="3754" s="84" customFormat="1" ht="12.75"/>
    <row r="3755" s="84" customFormat="1" ht="12.75"/>
    <row r="3756" s="84" customFormat="1" ht="12.75"/>
    <row r="3757" s="84" customFormat="1" ht="12.75"/>
    <row r="3758" s="84" customFormat="1" ht="12.75"/>
    <row r="3759" s="84" customFormat="1" ht="12.75"/>
    <row r="3760" s="84" customFormat="1" ht="12.75"/>
    <row r="3761" s="84" customFormat="1" ht="12.75"/>
    <row r="3762" s="84" customFormat="1" ht="12.75"/>
    <row r="3763" s="84" customFormat="1" ht="12.75"/>
    <row r="3764" s="84" customFormat="1" ht="12.75"/>
    <row r="3765" s="84" customFormat="1" ht="12.75"/>
    <row r="3766" s="84" customFormat="1" ht="12.75"/>
    <row r="3767" s="84" customFormat="1" ht="12.75"/>
    <row r="3768" s="84" customFormat="1" ht="12.75"/>
    <row r="3769" s="84" customFormat="1" ht="12.75"/>
    <row r="3770" s="84" customFormat="1" ht="12.75"/>
    <row r="3771" s="84" customFormat="1" ht="12.75"/>
    <row r="3772" s="84" customFormat="1" ht="12.75"/>
    <row r="3773" s="84" customFormat="1" ht="12.75"/>
    <row r="3774" s="84" customFormat="1" ht="12.75"/>
    <row r="3775" s="84" customFormat="1" ht="12.75"/>
    <row r="3776" s="84" customFormat="1" ht="12.75"/>
    <row r="3777" s="84" customFormat="1" ht="12.75"/>
    <row r="3778" s="84" customFormat="1" ht="12.75"/>
    <row r="3779" s="84" customFormat="1" ht="12.75"/>
    <row r="3780" s="84" customFormat="1" ht="12.75"/>
    <row r="3781" s="84" customFormat="1" ht="12.75"/>
    <row r="3782" s="84" customFormat="1" ht="12.75"/>
    <row r="3783" s="84" customFormat="1" ht="12.75"/>
    <row r="3784" s="84" customFormat="1" ht="12.75"/>
    <row r="3785" s="84" customFormat="1" ht="12.75"/>
    <row r="3786" s="84" customFormat="1" ht="12.75"/>
    <row r="3787" s="84" customFormat="1" ht="12.75"/>
    <row r="3788" s="84" customFormat="1" ht="12.75"/>
    <row r="3789" s="84" customFormat="1" ht="12.75"/>
    <row r="3790" s="84" customFormat="1" ht="12.75"/>
    <row r="3791" s="84" customFormat="1" ht="12.75"/>
    <row r="3792" s="84" customFormat="1" ht="12.75"/>
    <row r="3793" s="84" customFormat="1" ht="12.75"/>
    <row r="3794" s="84" customFormat="1" ht="12.75"/>
    <row r="3795" s="84" customFormat="1" ht="12.75"/>
    <row r="3796" s="84" customFormat="1" ht="12.75"/>
    <row r="3797" s="84" customFormat="1" ht="12.75"/>
    <row r="3798" s="84" customFormat="1" ht="12.75"/>
    <row r="3799" s="84" customFormat="1" ht="12.75"/>
    <row r="3800" s="84" customFormat="1" ht="12.75"/>
    <row r="3801" s="84" customFormat="1" ht="12.75"/>
    <row r="3802" s="84" customFormat="1" ht="12.75"/>
    <row r="3803" s="84" customFormat="1" ht="12.75"/>
    <row r="3804" s="84" customFormat="1" ht="12.75"/>
    <row r="3805" s="84" customFormat="1" ht="12.75"/>
    <row r="3806" s="84" customFormat="1" ht="12.75"/>
    <row r="3807" s="84" customFormat="1" ht="12.75"/>
    <row r="3808" s="84" customFormat="1" ht="12.75"/>
    <row r="3809" s="84" customFormat="1" ht="12.75"/>
    <row r="3810" s="84" customFormat="1" ht="12.75"/>
    <row r="3811" s="84" customFormat="1" ht="12.75"/>
    <row r="3812" s="84" customFormat="1" ht="12.75"/>
    <row r="3813" s="84" customFormat="1" ht="12.75"/>
    <row r="3814" s="84" customFormat="1" ht="12.75"/>
    <row r="3815" s="84" customFormat="1" ht="12.75"/>
    <row r="3816" s="84" customFormat="1" ht="12.75"/>
    <row r="3817" s="84" customFormat="1" ht="12.75"/>
    <row r="3818" s="84" customFormat="1" ht="12.75"/>
    <row r="3819" s="84" customFormat="1" ht="12.75"/>
    <row r="3820" s="84" customFormat="1" ht="12.75"/>
    <row r="3821" s="84" customFormat="1" ht="12.75"/>
    <row r="3822" s="84" customFormat="1" ht="12.75"/>
    <row r="3823" s="84" customFormat="1" ht="12.75"/>
    <row r="3824" s="84" customFormat="1" ht="12.75"/>
    <row r="3825" s="84" customFormat="1" ht="12.75"/>
    <row r="3826" s="84" customFormat="1" ht="12.75"/>
    <row r="3827" s="84" customFormat="1" ht="12.75"/>
    <row r="3828" s="84" customFormat="1" ht="12.75"/>
    <row r="3829" s="84" customFormat="1" ht="12.75"/>
    <row r="3830" s="84" customFormat="1" ht="12.75"/>
    <row r="3831" s="84" customFormat="1" ht="12.75"/>
    <row r="3832" s="84" customFormat="1" ht="12.75"/>
    <row r="3833" s="84" customFormat="1" ht="12.75"/>
    <row r="3834" s="84" customFormat="1" ht="12.75"/>
    <row r="3835" s="84" customFormat="1" ht="12.75"/>
    <row r="3836" s="84" customFormat="1" ht="12.75"/>
    <row r="3837" s="84" customFormat="1" ht="12.75"/>
    <row r="3838" s="84" customFormat="1" ht="12.75"/>
    <row r="3839" s="84" customFormat="1" ht="12.75"/>
    <row r="3840" s="84" customFormat="1" ht="12.75"/>
    <row r="3841" s="84" customFormat="1" ht="12.75"/>
    <row r="3842" s="84" customFormat="1" ht="12.75"/>
    <row r="3843" s="84" customFormat="1" ht="12.75"/>
    <row r="3844" s="84" customFormat="1" ht="12.75"/>
    <row r="3845" s="84" customFormat="1" ht="12.75"/>
    <row r="3846" s="84" customFormat="1" ht="12.75"/>
    <row r="3847" s="84" customFormat="1" ht="12.75"/>
    <row r="3848" s="84" customFormat="1" ht="12.75"/>
    <row r="3849" s="84" customFormat="1" ht="12.75"/>
    <row r="3850" s="84" customFormat="1" ht="12.75"/>
    <row r="3851" s="84" customFormat="1" ht="12.75"/>
    <row r="3852" s="84" customFormat="1" ht="12.75"/>
    <row r="3853" s="84" customFormat="1" ht="12.75"/>
    <row r="3854" s="84" customFormat="1" ht="12.75"/>
    <row r="3855" s="84" customFormat="1" ht="12.75"/>
    <row r="3856" s="84" customFormat="1" ht="12.75"/>
    <row r="3857" s="84" customFormat="1" ht="12.75"/>
    <row r="3858" s="84" customFormat="1" ht="12.75"/>
    <row r="3859" s="84" customFormat="1" ht="12.75"/>
    <row r="3860" s="84" customFormat="1" ht="12.75"/>
    <row r="3861" s="84" customFormat="1" ht="12.75"/>
    <row r="3862" s="84" customFormat="1" ht="12.75"/>
    <row r="3863" s="84" customFormat="1" ht="12.75"/>
    <row r="3864" s="84" customFormat="1" ht="12.75"/>
    <row r="3865" s="84" customFormat="1" ht="12.75"/>
    <row r="3866" s="84" customFormat="1" ht="12.75"/>
    <row r="3867" s="84" customFormat="1" ht="12.75"/>
    <row r="3868" s="84" customFormat="1" ht="12.75"/>
    <row r="3869" s="84" customFormat="1" ht="12.75"/>
    <row r="3870" s="84" customFormat="1" ht="12.75"/>
    <row r="3871" s="84" customFormat="1" ht="12.75"/>
    <row r="3872" s="84" customFormat="1" ht="12.75"/>
    <row r="3873" s="84" customFormat="1" ht="12.75"/>
    <row r="3874" s="84" customFormat="1" ht="12.75"/>
    <row r="3875" s="84" customFormat="1" ht="12.75"/>
    <row r="3876" s="84" customFormat="1" ht="12.75"/>
    <row r="3877" s="84" customFormat="1" ht="12.75"/>
    <row r="3878" s="84" customFormat="1" ht="12.75"/>
    <row r="3879" s="84" customFormat="1" ht="12.75"/>
    <row r="3880" s="84" customFormat="1" ht="12.75"/>
    <row r="3881" s="84" customFormat="1" ht="12.75"/>
    <row r="3882" s="84" customFormat="1" ht="12.75"/>
    <row r="3883" s="84" customFormat="1" ht="12.75"/>
    <row r="3884" s="84" customFormat="1" ht="12.75"/>
    <row r="3885" s="84" customFormat="1" ht="12.75"/>
    <row r="3886" s="84" customFormat="1" ht="12.75"/>
    <row r="3887" s="84" customFormat="1" ht="12.75"/>
    <row r="3888" s="84" customFormat="1" ht="12.75"/>
    <row r="3889" s="84" customFormat="1" ht="12.75"/>
    <row r="3890" s="84" customFormat="1" ht="12.75"/>
    <row r="3891" s="84" customFormat="1" ht="12.75"/>
    <row r="3892" s="84" customFormat="1" ht="12.75"/>
    <row r="3893" s="84" customFormat="1" ht="12.75"/>
    <row r="3894" s="84" customFormat="1" ht="12.75"/>
    <row r="3895" s="84" customFormat="1" ht="12.75"/>
    <row r="3896" s="84" customFormat="1" ht="12.75"/>
    <row r="3897" s="84" customFormat="1" ht="12.75"/>
    <row r="3898" s="84" customFormat="1" ht="12.75"/>
    <row r="3899" s="84" customFormat="1" ht="12.75"/>
    <row r="3900" s="84" customFormat="1" ht="12.75"/>
    <row r="3901" s="84" customFormat="1" ht="12.75"/>
    <row r="3902" s="84" customFormat="1" ht="12.75"/>
    <row r="3903" s="84" customFormat="1" ht="12.75"/>
    <row r="3904" s="84" customFormat="1" ht="12.75"/>
    <row r="3905" s="84" customFormat="1" ht="12.75"/>
    <row r="3906" s="84" customFormat="1" ht="12.75"/>
    <row r="3907" s="84" customFormat="1" ht="12.75"/>
    <row r="3908" s="84" customFormat="1" ht="12.75"/>
    <row r="3909" s="84" customFormat="1" ht="12.75"/>
    <row r="3910" s="84" customFormat="1" ht="12.75"/>
    <row r="3911" s="84" customFormat="1" ht="12.75"/>
    <row r="3912" s="84" customFormat="1" ht="12.75"/>
    <row r="3913" s="84" customFormat="1" ht="12.75"/>
    <row r="3914" s="84" customFormat="1" ht="12.75"/>
    <row r="3915" s="84" customFormat="1" ht="12.75"/>
    <row r="3916" s="84" customFormat="1" ht="12.75"/>
    <row r="3917" s="84" customFormat="1" ht="12.75"/>
    <row r="3918" s="84" customFormat="1" ht="12.75"/>
    <row r="3919" s="84" customFormat="1" ht="12.75"/>
    <row r="3920" s="84" customFormat="1" ht="12.75"/>
    <row r="3921" s="84" customFormat="1" ht="12.75"/>
    <row r="3922" s="84" customFormat="1" ht="12.75"/>
    <row r="3923" s="84" customFormat="1" ht="12.75"/>
    <row r="3924" s="84" customFormat="1" ht="12.75"/>
    <row r="3925" s="84" customFormat="1" ht="12.75"/>
    <row r="3926" s="84" customFormat="1" ht="12.75"/>
    <row r="3927" s="84" customFormat="1" ht="12.75"/>
    <row r="3928" s="84" customFormat="1" ht="12.75"/>
    <row r="3929" s="84" customFormat="1" ht="12.75"/>
    <row r="3930" s="84" customFormat="1" ht="12.75"/>
    <row r="3931" s="84" customFormat="1" ht="12.75"/>
    <row r="3932" s="84" customFormat="1" ht="12.75"/>
    <row r="3933" s="84" customFormat="1" ht="12.75"/>
    <row r="3934" s="84" customFormat="1" ht="12.75"/>
    <row r="3935" s="84" customFormat="1" ht="12.75"/>
    <row r="3936" s="84" customFormat="1" ht="12.75"/>
    <row r="3937" s="84" customFormat="1" ht="12.75"/>
    <row r="3938" s="84" customFormat="1" ht="12.75"/>
    <row r="3939" s="84" customFormat="1" ht="12.75"/>
    <row r="3940" s="84" customFormat="1" ht="12.75"/>
    <row r="3941" s="84" customFormat="1" ht="12.75"/>
    <row r="3942" s="84" customFormat="1" ht="12.75"/>
    <row r="3943" s="84" customFormat="1" ht="12.75"/>
    <row r="3944" s="84" customFormat="1" ht="12.75"/>
    <row r="3945" s="84" customFormat="1" ht="12.75"/>
    <row r="3946" s="84" customFormat="1" ht="12.75"/>
    <row r="3947" s="84" customFormat="1" ht="12.75"/>
    <row r="3948" s="84" customFormat="1" ht="12.75"/>
    <row r="3949" s="84" customFormat="1" ht="12.75"/>
    <row r="3950" s="84" customFormat="1" ht="12.75"/>
    <row r="3951" s="84" customFormat="1" ht="12.75"/>
    <row r="3952" s="84" customFormat="1" ht="12.75"/>
    <row r="3953" s="84" customFormat="1" ht="12.75"/>
    <row r="3954" s="84" customFormat="1" ht="12.75"/>
    <row r="3955" s="84" customFormat="1" ht="12.75"/>
    <row r="3956" s="84" customFormat="1" ht="12.75"/>
    <row r="3957" s="84" customFormat="1" ht="12.75"/>
    <row r="3958" s="84" customFormat="1" ht="12.75"/>
    <row r="3959" s="84" customFormat="1" ht="12.75"/>
    <row r="3960" s="84" customFormat="1" ht="12.75"/>
    <row r="3961" s="84" customFormat="1" ht="12.75"/>
    <row r="3962" s="84" customFormat="1" ht="12.75"/>
    <row r="3963" s="84" customFormat="1" ht="12.75"/>
    <row r="3964" s="84" customFormat="1" ht="12.75"/>
    <row r="3965" s="84" customFormat="1" ht="12.75"/>
    <row r="3966" s="84" customFormat="1" ht="12.75"/>
    <row r="3967" s="84" customFormat="1" ht="12.75"/>
    <row r="3968" s="84" customFormat="1" ht="12.75"/>
    <row r="3969" s="84" customFormat="1" ht="12.75"/>
    <row r="3970" s="84" customFormat="1" ht="12.75"/>
    <row r="3971" s="84" customFormat="1" ht="12.75"/>
    <row r="3972" s="84" customFormat="1" ht="12.75"/>
    <row r="3973" s="84" customFormat="1" ht="12.75"/>
    <row r="3974" s="84" customFormat="1" ht="12.75"/>
    <row r="3975" s="84" customFormat="1" ht="12.75"/>
    <row r="3976" s="84" customFormat="1" ht="12.75"/>
    <row r="3977" s="84" customFormat="1" ht="12.75"/>
    <row r="3978" s="84" customFormat="1" ht="12.75"/>
    <row r="3979" s="84" customFormat="1" ht="12.75"/>
    <row r="3980" s="84" customFormat="1" ht="12.75"/>
    <row r="3981" s="84" customFormat="1" ht="12.75"/>
    <row r="3982" s="84" customFormat="1" ht="12.75"/>
    <row r="3983" s="84" customFormat="1" ht="12.75"/>
    <row r="3984" s="84" customFormat="1" ht="12.75"/>
    <row r="3985" s="84" customFormat="1" ht="12.75"/>
    <row r="3986" s="84" customFormat="1" ht="12.75"/>
    <row r="3987" s="84" customFormat="1" ht="12.75"/>
    <row r="3988" s="84" customFormat="1" ht="12.75"/>
    <row r="3989" s="84" customFormat="1" ht="12.75"/>
    <row r="3990" s="84" customFormat="1" ht="12.75"/>
    <row r="3991" s="84" customFormat="1" ht="12.75"/>
    <row r="3992" s="84" customFormat="1" ht="12.75"/>
    <row r="3993" s="84" customFormat="1" ht="12.75"/>
    <row r="3994" s="84" customFormat="1" ht="12.75"/>
    <row r="3995" s="84" customFormat="1" ht="12.75"/>
    <row r="3996" s="84" customFormat="1" ht="12.75"/>
    <row r="3997" s="84" customFormat="1" ht="12.75"/>
    <row r="3998" s="84" customFormat="1" ht="12.75"/>
    <row r="3999" s="84" customFormat="1" ht="12.75"/>
    <row r="4000" s="84" customFormat="1" ht="12.75"/>
    <row r="4001" s="84" customFormat="1" ht="12.75"/>
    <row r="4002" s="84" customFormat="1" ht="12.75"/>
    <row r="4003" s="84" customFormat="1" ht="12.75"/>
    <row r="4004" s="84" customFormat="1" ht="12.75"/>
    <row r="4005" s="84" customFormat="1" ht="12.75"/>
    <row r="4006" s="84" customFormat="1" ht="12.75"/>
    <row r="4007" s="84" customFormat="1" ht="12.75"/>
    <row r="4008" s="84" customFormat="1" ht="12.75"/>
    <row r="4009" s="84" customFormat="1" ht="12.75"/>
    <row r="4010" s="84" customFormat="1" ht="12.75"/>
    <row r="4011" s="84" customFormat="1" ht="12.75"/>
    <row r="4012" s="84" customFormat="1" ht="12.75"/>
    <row r="4013" s="84" customFormat="1" ht="12.75"/>
    <row r="4014" s="84" customFormat="1" ht="12.75"/>
    <row r="4015" s="84" customFormat="1" ht="12.75"/>
    <row r="4016" s="84" customFormat="1" ht="12.75"/>
    <row r="4017" s="84" customFormat="1" ht="12.75"/>
    <row r="4018" s="84" customFormat="1" ht="12.75"/>
    <row r="4019" s="84" customFormat="1" ht="12.75"/>
    <row r="4020" s="84" customFormat="1" ht="12.75"/>
    <row r="4021" s="84" customFormat="1" ht="12.75"/>
    <row r="4022" s="84" customFormat="1" ht="12.75"/>
    <row r="4023" s="84" customFormat="1" ht="12.75"/>
    <row r="4024" s="84" customFormat="1" ht="12.75"/>
    <row r="4025" s="84" customFormat="1" ht="12.75"/>
    <row r="4026" s="84" customFormat="1" ht="12.75"/>
    <row r="4027" s="84" customFormat="1" ht="12.75"/>
    <row r="4028" s="84" customFormat="1" ht="12.75"/>
    <row r="4029" s="84" customFormat="1" ht="12.75"/>
    <row r="4030" s="84" customFormat="1" ht="12.75"/>
    <row r="4031" s="84" customFormat="1" ht="12.75"/>
    <row r="4032" s="84" customFormat="1" ht="12.75"/>
    <row r="4033" s="84" customFormat="1" ht="12.75"/>
    <row r="4034" s="84" customFormat="1" ht="12.75"/>
    <row r="4035" s="84" customFormat="1" ht="12.75"/>
    <row r="4036" s="84" customFormat="1" ht="12.75"/>
    <row r="4037" s="84" customFormat="1" ht="12.75"/>
    <row r="4038" s="84" customFormat="1" ht="12.75"/>
    <row r="4039" s="84" customFormat="1" ht="12.75"/>
    <row r="4040" s="84" customFormat="1" ht="12.75"/>
    <row r="4041" s="84" customFormat="1" ht="12.75"/>
    <row r="4042" s="84" customFormat="1" ht="12.75"/>
    <row r="4043" s="84" customFormat="1" ht="12.75"/>
    <row r="4044" s="84" customFormat="1" ht="12.75"/>
    <row r="4045" s="84" customFormat="1" ht="12.75"/>
    <row r="4046" s="84" customFormat="1" ht="12.75"/>
    <row r="4047" s="84" customFormat="1" ht="12.75"/>
    <row r="4048" s="84" customFormat="1" ht="12.75"/>
    <row r="4049" s="84" customFormat="1" ht="12.75"/>
    <row r="4050" s="84" customFormat="1" ht="12.75"/>
    <row r="4051" s="84" customFormat="1" ht="12.75"/>
    <row r="4052" s="84" customFormat="1" ht="12.75"/>
    <row r="4053" s="84" customFormat="1" ht="12.75"/>
    <row r="4054" s="84" customFormat="1" ht="12.75"/>
    <row r="4055" s="84" customFormat="1" ht="12.75"/>
    <row r="4056" s="84" customFormat="1" ht="12.75"/>
    <row r="4057" s="84" customFormat="1" ht="12.75"/>
    <row r="4058" s="84" customFormat="1" ht="12.75"/>
    <row r="4059" s="84" customFormat="1" ht="12.75"/>
    <row r="4060" s="84" customFormat="1" ht="12.75"/>
    <row r="4061" s="84" customFormat="1" ht="12.75"/>
    <row r="4062" s="84" customFormat="1" ht="12.75"/>
    <row r="4063" s="84" customFormat="1" ht="12.75"/>
    <row r="4064" s="84" customFormat="1" ht="12.75"/>
    <row r="4065" s="84" customFormat="1" ht="12.75"/>
    <row r="4066" s="84" customFormat="1" ht="12.75"/>
    <row r="4067" s="84" customFormat="1" ht="12.75"/>
    <row r="4068" s="84" customFormat="1" ht="12.75"/>
    <row r="4069" s="84" customFormat="1" ht="12.75"/>
    <row r="4070" s="84" customFormat="1" ht="12.75"/>
    <row r="4071" s="84" customFormat="1" ht="12.75"/>
    <row r="4072" s="84" customFormat="1" ht="12.75"/>
    <row r="4073" s="84" customFormat="1" ht="12.75"/>
    <row r="4074" s="84" customFormat="1" ht="12.75"/>
    <row r="4075" s="84" customFormat="1" ht="12.75"/>
    <row r="4076" s="84" customFormat="1" ht="12.75"/>
    <row r="4077" s="84" customFormat="1" ht="12.75"/>
    <row r="4078" s="84" customFormat="1" ht="12.75"/>
    <row r="4079" s="84" customFormat="1" ht="12.75"/>
    <row r="4080" s="84" customFormat="1" ht="12.75"/>
    <row r="4081" s="84" customFormat="1" ht="12.75"/>
    <row r="4082" s="84" customFormat="1" ht="12.75"/>
    <row r="4083" s="84" customFormat="1" ht="12.75"/>
    <row r="4084" s="84" customFormat="1" ht="12.75"/>
    <row r="4085" s="84" customFormat="1" ht="12.75"/>
    <row r="4086" s="84" customFormat="1" ht="12.75"/>
    <row r="4087" s="84" customFormat="1" ht="12.75"/>
    <row r="4088" s="84" customFormat="1" ht="12.75"/>
    <row r="4089" s="84" customFormat="1" ht="12.75"/>
    <row r="4090" s="84" customFormat="1" ht="12.75"/>
    <row r="4091" s="84" customFormat="1" ht="12.75"/>
    <row r="4092" s="84" customFormat="1" ht="12.75"/>
    <row r="4093" s="84" customFormat="1" ht="12.75"/>
    <row r="4094" s="84" customFormat="1" ht="12.75"/>
    <row r="4095" s="84" customFormat="1" ht="12.75"/>
    <row r="4096" s="84" customFormat="1" ht="12.75"/>
    <row r="4097" s="84" customFormat="1" ht="12.75"/>
    <row r="4098" s="84" customFormat="1" ht="12.75"/>
    <row r="4099" s="84" customFormat="1" ht="12.75"/>
    <row r="4100" s="84" customFormat="1" ht="12.75"/>
    <row r="4101" s="84" customFormat="1" ht="12.75"/>
    <row r="4102" s="84" customFormat="1" ht="12.75"/>
    <row r="4103" s="84" customFormat="1" ht="12.75"/>
    <row r="4104" s="84" customFormat="1" ht="12.75"/>
    <row r="4105" s="84" customFormat="1" ht="12.75"/>
    <row r="4106" s="84" customFormat="1" ht="12.75"/>
    <row r="4107" s="84" customFormat="1" ht="12.75"/>
    <row r="4108" s="84" customFormat="1" ht="12.75"/>
    <row r="4109" s="84" customFormat="1" ht="12.75"/>
    <row r="4110" s="84" customFormat="1" ht="12.75"/>
    <row r="4111" s="84" customFormat="1" ht="12.75"/>
    <row r="4112" s="84" customFormat="1" ht="12.75"/>
    <row r="4113" s="84" customFormat="1" ht="12.75"/>
    <row r="4114" s="84" customFormat="1" ht="12.75"/>
    <row r="4115" s="84" customFormat="1" ht="12.75"/>
    <row r="4116" s="84" customFormat="1" ht="12.75"/>
    <row r="4117" s="84" customFormat="1" ht="12.75"/>
    <row r="4118" s="84" customFormat="1" ht="12.75"/>
    <row r="4119" s="84" customFormat="1" ht="12.75"/>
    <row r="4120" s="84" customFormat="1" ht="12.75"/>
    <row r="4121" s="84" customFormat="1" ht="12.75"/>
    <row r="4122" s="84" customFormat="1" ht="12.75"/>
    <row r="4123" s="84" customFormat="1" ht="12.75"/>
    <row r="4124" s="84" customFormat="1" ht="12.75"/>
    <row r="4125" s="84" customFormat="1" ht="12.75"/>
    <row r="4126" s="84" customFormat="1" ht="12.75"/>
    <row r="4127" s="84" customFormat="1" ht="12.75"/>
    <row r="4128" s="84" customFormat="1" ht="12.75"/>
    <row r="4129" s="84" customFormat="1" ht="12.75"/>
    <row r="4130" s="84" customFormat="1" ht="12.75"/>
    <row r="4131" s="84" customFormat="1" ht="12.75"/>
    <row r="4132" s="84" customFormat="1" ht="12.75"/>
    <row r="4133" s="84" customFormat="1" ht="12.75"/>
    <row r="4134" s="84" customFormat="1" ht="12.75"/>
    <row r="4135" s="84" customFormat="1" ht="12.75"/>
    <row r="4136" s="84" customFormat="1" ht="12.75"/>
    <row r="4137" s="84" customFormat="1" ht="12.75"/>
    <row r="4138" s="84" customFormat="1" ht="12.75"/>
    <row r="4139" s="84" customFormat="1" ht="12.75"/>
    <row r="4140" s="84" customFormat="1" ht="12.75"/>
    <row r="4141" s="84" customFormat="1" ht="12.75"/>
    <row r="4142" s="84" customFormat="1" ht="12.75"/>
    <row r="4143" s="84" customFormat="1" ht="12.75"/>
    <row r="4144" s="84" customFormat="1" ht="12.75"/>
    <row r="4145" s="84" customFormat="1" ht="12.75"/>
    <row r="4146" s="84" customFormat="1" ht="12.75"/>
    <row r="4147" s="84" customFormat="1" ht="12.75"/>
    <row r="4148" s="84" customFormat="1" ht="12.75"/>
    <row r="4149" s="84" customFormat="1" ht="12.75"/>
    <row r="4150" s="84" customFormat="1" ht="12.75"/>
    <row r="4151" s="84" customFormat="1" ht="12.75"/>
    <row r="4152" s="84" customFormat="1" ht="12.75"/>
    <row r="4153" s="84" customFormat="1" ht="12.75"/>
    <row r="4154" s="84" customFormat="1" ht="12.75"/>
    <row r="4155" s="84" customFormat="1" ht="12.75"/>
    <row r="4156" s="84" customFormat="1" ht="12.75"/>
    <row r="4157" s="84" customFormat="1" ht="12.75"/>
    <row r="4158" s="84" customFormat="1" ht="12.75"/>
    <row r="4159" s="84" customFormat="1" ht="12.75"/>
    <row r="4160" s="84" customFormat="1" ht="12.75"/>
    <row r="4161" s="84" customFormat="1" ht="12.75"/>
    <row r="4162" s="84" customFormat="1" ht="12.75"/>
    <row r="4163" s="84" customFormat="1" ht="12.75"/>
    <row r="4164" s="84" customFormat="1" ht="12.75"/>
    <row r="4165" s="84" customFormat="1" ht="12.75"/>
    <row r="4166" s="84" customFormat="1" ht="12.75"/>
    <row r="4167" s="84" customFormat="1" ht="12.75"/>
    <row r="4168" s="84" customFormat="1" ht="12.75"/>
    <row r="4169" s="84" customFormat="1" ht="12.75"/>
    <row r="4170" s="84" customFormat="1" ht="12.75"/>
    <row r="4171" s="84" customFormat="1" ht="12.75"/>
    <row r="4172" s="84" customFormat="1" ht="12.75"/>
    <row r="4173" s="84" customFormat="1" ht="12.75"/>
    <row r="4174" s="84" customFormat="1" ht="12.75"/>
    <row r="4175" s="84" customFormat="1" ht="12.75"/>
    <row r="4176" s="84" customFormat="1" ht="12.75"/>
    <row r="4177" s="84" customFormat="1" ht="12.75"/>
    <row r="4178" s="84" customFormat="1" ht="12.75"/>
    <row r="4179" s="84" customFormat="1" ht="12.75"/>
    <row r="4180" s="84" customFormat="1" ht="12.75"/>
    <row r="4181" s="84" customFormat="1" ht="12.75"/>
    <row r="4182" s="84" customFormat="1" ht="12.75"/>
    <row r="4183" s="84" customFormat="1" ht="12.75"/>
    <row r="4184" s="84" customFormat="1" ht="12.75"/>
    <row r="4185" s="84" customFormat="1" ht="12.75"/>
    <row r="4186" s="84" customFormat="1" ht="12.75"/>
    <row r="4187" s="84" customFormat="1" ht="12.75"/>
    <row r="4188" s="84" customFormat="1" ht="12.75"/>
    <row r="4189" s="84" customFormat="1" ht="12.75"/>
    <row r="4190" s="84" customFormat="1" ht="12.75"/>
    <row r="4191" s="84" customFormat="1" ht="12.75"/>
    <row r="4192" s="84" customFormat="1" ht="12.75"/>
    <row r="4193" s="84" customFormat="1" ht="12.75"/>
    <row r="4194" s="84" customFormat="1" ht="12.75"/>
    <row r="4195" s="84" customFormat="1" ht="12.75"/>
    <row r="4196" s="84" customFormat="1" ht="12.75"/>
    <row r="4197" s="84" customFormat="1" ht="12.75"/>
    <row r="4198" s="84" customFormat="1" ht="12.75"/>
    <row r="4199" s="84" customFormat="1" ht="12.75"/>
    <row r="4200" s="84" customFormat="1" ht="12.75"/>
    <row r="4201" s="84" customFormat="1" ht="12.75"/>
    <row r="4202" s="84" customFormat="1" ht="12.75"/>
    <row r="4203" s="84" customFormat="1" ht="12.75"/>
    <row r="4204" s="84" customFormat="1" ht="12.75"/>
    <row r="4205" s="84" customFormat="1" ht="12.75"/>
    <row r="4206" s="84" customFormat="1" ht="12.75"/>
    <row r="4207" s="84" customFormat="1" ht="12.75"/>
    <row r="4208" s="84" customFormat="1" ht="12.75"/>
    <row r="4209" s="84" customFormat="1" ht="12.75"/>
    <row r="4210" s="84" customFormat="1" ht="12.75"/>
    <row r="4211" s="84" customFormat="1" ht="12.75"/>
    <row r="4212" s="84" customFormat="1" ht="12.75"/>
    <row r="4213" s="84" customFormat="1" ht="12.75"/>
    <row r="4214" s="84" customFormat="1" ht="12.75"/>
    <row r="4215" s="84" customFormat="1" ht="12.75"/>
    <row r="4216" s="84" customFormat="1" ht="12.75"/>
    <row r="4217" s="84" customFormat="1" ht="12.75"/>
    <row r="4218" s="84" customFormat="1" ht="12.75"/>
    <row r="4219" s="84" customFormat="1" ht="12.75"/>
    <row r="4220" s="84" customFormat="1" ht="12.75"/>
    <row r="4221" s="84" customFormat="1" ht="12.75"/>
    <row r="4222" s="84" customFormat="1" ht="12.75"/>
    <row r="4223" s="84" customFormat="1" ht="12.75"/>
    <row r="4224" s="84" customFormat="1" ht="12.75"/>
    <row r="4225" s="84" customFormat="1" ht="12.75"/>
    <row r="4226" s="84" customFormat="1" ht="12.75"/>
    <row r="4227" s="84" customFormat="1" ht="12.75"/>
    <row r="4228" s="84" customFormat="1" ht="12.75"/>
    <row r="4229" s="84" customFormat="1" ht="12.75"/>
    <row r="4230" s="84" customFormat="1" ht="12.75"/>
    <row r="4231" s="84" customFormat="1" ht="12.75"/>
    <row r="4232" s="84" customFormat="1" ht="12.75"/>
    <row r="4233" s="84" customFormat="1" ht="12.75"/>
    <row r="4234" s="84" customFormat="1" ht="12.75"/>
    <row r="4235" s="84" customFormat="1" ht="12.75"/>
    <row r="4236" s="84" customFormat="1" ht="12.75"/>
    <row r="4237" s="84" customFormat="1" ht="12.75"/>
    <row r="4238" s="84" customFormat="1" ht="12.75"/>
    <row r="4239" s="84" customFormat="1" ht="12.75"/>
    <row r="4240" s="84" customFormat="1" ht="12.75"/>
    <row r="4241" s="84" customFormat="1" ht="12.75"/>
    <row r="4242" s="84" customFormat="1" ht="12.75"/>
    <row r="4243" s="84" customFormat="1" ht="12.75"/>
    <row r="4244" s="84" customFormat="1" ht="12.75"/>
    <row r="4245" s="84" customFormat="1" ht="12.75"/>
    <row r="4246" s="84" customFormat="1" ht="12.75"/>
    <row r="4247" s="84" customFormat="1" ht="12.75"/>
    <row r="4248" s="84" customFormat="1" ht="12.75"/>
    <row r="4249" s="84" customFormat="1" ht="12.75"/>
    <row r="4250" s="84" customFormat="1" ht="12.75"/>
    <row r="4251" s="84" customFormat="1" ht="12.75"/>
    <row r="4252" s="84" customFormat="1" ht="12.75"/>
    <row r="4253" s="84" customFormat="1" ht="12.75"/>
    <row r="4254" s="84" customFormat="1" ht="12.75"/>
    <row r="4255" s="84" customFormat="1" ht="12.75"/>
    <row r="4256" s="84" customFormat="1" ht="12.75"/>
    <row r="4257" s="84" customFormat="1" ht="12.75"/>
    <row r="4258" s="84" customFormat="1" ht="12.75"/>
    <row r="4259" s="84" customFormat="1" ht="12.75"/>
    <row r="4260" s="84" customFormat="1" ht="12.75"/>
    <row r="4261" s="84" customFormat="1" ht="12.75"/>
    <row r="4262" s="84" customFormat="1" ht="12.75"/>
    <row r="4263" s="84" customFormat="1" ht="12.75"/>
    <row r="4264" s="84" customFormat="1" ht="12.75"/>
    <row r="4265" s="84" customFormat="1" ht="12.75"/>
    <row r="4266" s="84" customFormat="1" ht="12.75"/>
    <row r="4267" s="84" customFormat="1" ht="12.75"/>
    <row r="4268" s="84" customFormat="1" ht="12.75"/>
    <row r="4269" s="84" customFormat="1" ht="12.75"/>
    <row r="4270" s="84" customFormat="1" ht="12.75"/>
    <row r="4271" s="84" customFormat="1" ht="12.75"/>
    <row r="4272" s="84" customFormat="1" ht="12.75"/>
    <row r="4273" s="84" customFormat="1" ht="12.75"/>
    <row r="4274" s="84" customFormat="1" ht="12.75"/>
    <row r="4275" s="84" customFormat="1" ht="12.75"/>
    <row r="4276" s="84" customFormat="1" ht="12.75"/>
    <row r="4277" s="84" customFormat="1" ht="12.75"/>
    <row r="4278" s="84" customFormat="1" ht="12.75"/>
    <row r="4279" s="84" customFormat="1" ht="12.75"/>
    <row r="4280" s="84" customFormat="1" ht="12.75"/>
    <row r="4281" s="84" customFormat="1" ht="12.75"/>
    <row r="4282" s="84" customFormat="1" ht="12.75"/>
    <row r="4283" s="84" customFormat="1" ht="12.75"/>
    <row r="4284" s="84" customFormat="1" ht="12.75"/>
    <row r="4285" s="84" customFormat="1" ht="12.75"/>
    <row r="4286" s="84" customFormat="1" ht="12.75"/>
    <row r="4287" s="84" customFormat="1" ht="12.75"/>
    <row r="4288" s="84" customFormat="1" ht="12.75"/>
    <row r="4289" s="84" customFormat="1" ht="12.75"/>
    <row r="4290" s="84" customFormat="1" ht="12.75"/>
    <row r="4291" s="84" customFormat="1" ht="12.75"/>
    <row r="4292" s="84" customFormat="1" ht="12.75"/>
    <row r="4293" s="84" customFormat="1" ht="12.75"/>
    <row r="4294" s="84" customFormat="1" ht="12.75"/>
    <row r="4295" s="84" customFormat="1" ht="12.75"/>
    <row r="4296" s="84" customFormat="1" ht="12.75"/>
    <row r="4297" s="84" customFormat="1" ht="12.75"/>
    <row r="4298" s="84" customFormat="1" ht="12.75"/>
    <row r="4299" s="84" customFormat="1" ht="12.75"/>
    <row r="4300" s="84" customFormat="1" ht="12.75"/>
    <row r="4301" s="84" customFormat="1" ht="12.75"/>
    <row r="4302" s="84" customFormat="1" ht="12.75"/>
    <row r="4303" s="84" customFormat="1" ht="12.75"/>
    <row r="4304" s="84" customFormat="1" ht="12.75"/>
    <row r="4305" s="84" customFormat="1" ht="12.75"/>
    <row r="4306" s="84" customFormat="1" ht="12.75"/>
    <row r="4307" s="84" customFormat="1" ht="12.75"/>
    <row r="4308" s="84" customFormat="1" ht="12.75"/>
    <row r="4309" s="84" customFormat="1" ht="12.75"/>
    <row r="4310" s="84" customFormat="1" ht="12.75"/>
    <row r="4311" s="84" customFormat="1" ht="12.75"/>
    <row r="4312" s="84" customFormat="1" ht="12.75"/>
    <row r="4313" s="84" customFormat="1" ht="12.75"/>
    <row r="4314" s="84" customFormat="1" ht="12.75"/>
    <row r="4315" s="84" customFormat="1" ht="12.75"/>
    <row r="4316" s="84" customFormat="1" ht="12.75"/>
    <row r="4317" s="84" customFormat="1" ht="12.75"/>
    <row r="4318" s="84" customFormat="1" ht="12.75"/>
    <row r="4319" s="84" customFormat="1" ht="12.75"/>
    <row r="4320" s="84" customFormat="1" ht="12.75"/>
    <row r="4321" s="84" customFormat="1" ht="12.75"/>
    <row r="4322" s="84" customFormat="1" ht="12.75"/>
    <row r="4323" s="84" customFormat="1" ht="12.75"/>
    <row r="4324" s="84" customFormat="1" ht="12.75"/>
    <row r="4325" s="84" customFormat="1" ht="12.75"/>
    <row r="4326" s="84" customFormat="1" ht="12.75"/>
    <row r="4327" s="84" customFormat="1" ht="12.75"/>
    <row r="4328" s="84" customFormat="1" ht="12.75"/>
    <row r="4329" s="84" customFormat="1" ht="12.75"/>
    <row r="4330" s="84" customFormat="1" ht="12.75"/>
    <row r="4331" s="84" customFormat="1" ht="12.75"/>
    <row r="4332" s="84" customFormat="1" ht="12.75"/>
    <row r="4333" s="84" customFormat="1" ht="12.75"/>
    <row r="4334" s="84" customFormat="1" ht="12.75"/>
    <row r="4335" s="84" customFormat="1" ht="12.75"/>
    <row r="4336" s="84" customFormat="1" ht="12.75"/>
    <row r="4337" s="84" customFormat="1" ht="12.75"/>
    <row r="4338" s="84" customFormat="1" ht="12.75"/>
    <row r="4339" s="84" customFormat="1" ht="12.75"/>
    <row r="4340" s="84" customFormat="1" ht="12.75"/>
    <row r="4341" s="84" customFormat="1" ht="12.75"/>
    <row r="4342" s="84" customFormat="1" ht="12.75"/>
    <row r="4343" s="84" customFormat="1" ht="12.75"/>
    <row r="4344" s="84" customFormat="1" ht="12.75"/>
    <row r="4345" s="84" customFormat="1" ht="12.75"/>
    <row r="4346" s="84" customFormat="1" ht="12.75"/>
    <row r="4347" s="84" customFormat="1" ht="12.75"/>
    <row r="4348" s="84" customFormat="1" ht="12.75"/>
    <row r="4349" s="84" customFormat="1" ht="12.75"/>
    <row r="4350" s="84" customFormat="1" ht="12.75"/>
    <row r="4351" s="84" customFormat="1" ht="12.75"/>
    <row r="4352" s="84" customFormat="1" ht="12.75"/>
    <row r="4353" s="84" customFormat="1" ht="12.75"/>
    <row r="4354" s="84" customFormat="1" ht="12.75"/>
    <row r="4355" s="84" customFormat="1" ht="12.75"/>
    <row r="4356" s="84" customFormat="1" ht="12.75"/>
    <row r="4357" s="84" customFormat="1" ht="12.75"/>
    <row r="4358" s="84" customFormat="1" ht="12.75"/>
    <row r="4359" s="84" customFormat="1" ht="12.75"/>
    <row r="4360" s="84" customFormat="1" ht="12.75"/>
    <row r="4361" s="84" customFormat="1" ht="12.75"/>
    <row r="4362" s="84" customFormat="1" ht="12.75"/>
    <row r="4363" s="84" customFormat="1" ht="12.75"/>
    <row r="4364" s="84" customFormat="1" ht="12.75"/>
    <row r="4365" s="84" customFormat="1" ht="12.75"/>
    <row r="4366" s="84" customFormat="1" ht="12.75"/>
    <row r="4367" s="84" customFormat="1" ht="12.75"/>
    <row r="4368" s="84" customFormat="1" ht="12.75"/>
    <row r="4369" s="84" customFormat="1" ht="12.75"/>
    <row r="4370" s="84" customFormat="1" ht="12.75"/>
    <row r="4371" s="84" customFormat="1" ht="12.75"/>
    <row r="4372" s="84" customFormat="1" ht="12.75"/>
    <row r="4373" s="84" customFormat="1" ht="12.75"/>
    <row r="4374" s="84" customFormat="1" ht="12.75"/>
    <row r="4375" s="84" customFormat="1" ht="12.75"/>
    <row r="4376" s="84" customFormat="1" ht="12.75"/>
    <row r="4377" s="84" customFormat="1" ht="12.75"/>
    <row r="4378" s="84" customFormat="1" ht="12.75"/>
    <row r="4379" s="84" customFormat="1" ht="12.75"/>
    <row r="4380" s="84" customFormat="1" ht="12.75"/>
    <row r="4381" s="84" customFormat="1" ht="12.75"/>
    <row r="4382" s="84" customFormat="1" ht="12.75"/>
    <row r="4383" s="84" customFormat="1" ht="12.75"/>
    <row r="4384" s="84" customFormat="1" ht="12.75"/>
    <row r="4385" s="84" customFormat="1" ht="12.75"/>
    <row r="4386" s="84" customFormat="1" ht="12.75"/>
    <row r="4387" s="84" customFormat="1" ht="12.75"/>
    <row r="4388" s="84" customFormat="1" ht="12.75"/>
    <row r="4389" s="84" customFormat="1" ht="12.75"/>
    <row r="4390" s="84" customFormat="1" ht="12.75"/>
    <row r="4391" s="84" customFormat="1" ht="12.75"/>
    <row r="4392" s="84" customFormat="1" ht="12.75"/>
    <row r="4393" s="84" customFormat="1" ht="12.75"/>
    <row r="4394" s="84" customFormat="1" ht="12.75"/>
    <row r="4395" s="84" customFormat="1" ht="12.75"/>
    <row r="4396" s="84" customFormat="1" ht="12.75"/>
    <row r="4397" s="84" customFormat="1" ht="12.75"/>
    <row r="4398" s="84" customFormat="1" ht="12.75"/>
    <row r="4399" s="84" customFormat="1" ht="12.75"/>
    <row r="4400" s="84" customFormat="1" ht="12.75"/>
    <row r="4401" s="84" customFormat="1" ht="12.75"/>
    <row r="4402" s="84" customFormat="1" ht="12.75"/>
    <row r="4403" s="84" customFormat="1" ht="12.75"/>
    <row r="4404" s="84" customFormat="1" ht="12.75"/>
    <row r="4405" s="84" customFormat="1" ht="12.75"/>
    <row r="4406" s="84" customFormat="1" ht="12.75"/>
    <row r="4407" s="84" customFormat="1" ht="12.75"/>
    <row r="4408" s="84" customFormat="1" ht="12.75"/>
    <row r="4409" s="84" customFormat="1" ht="12.75"/>
    <row r="4410" s="84" customFormat="1" ht="12.75"/>
    <row r="4411" s="84" customFormat="1" ht="12.75"/>
    <row r="4412" s="84" customFormat="1" ht="12.75"/>
    <row r="4413" s="84" customFormat="1" ht="12.75"/>
    <row r="4414" s="84" customFormat="1" ht="12.75"/>
    <row r="4415" s="84" customFormat="1" ht="12.75"/>
    <row r="4416" s="84" customFormat="1" ht="12.75"/>
    <row r="4417" s="84" customFormat="1" ht="12.75"/>
    <row r="4418" s="84" customFormat="1" ht="12.75"/>
    <row r="4419" s="84" customFormat="1" ht="12.75"/>
    <row r="4420" s="84" customFormat="1" ht="12.75"/>
    <row r="4421" s="84" customFormat="1" ht="12.75"/>
    <row r="4422" s="84" customFormat="1" ht="12.75"/>
    <row r="4423" s="84" customFormat="1" ht="12.75"/>
    <row r="4424" s="84" customFormat="1" ht="12.75"/>
    <row r="4425" s="84" customFormat="1" ht="12.75"/>
    <row r="4426" s="84" customFormat="1" ht="12.75"/>
    <row r="4427" s="84" customFormat="1" ht="12.75"/>
    <row r="4428" s="84" customFormat="1" ht="12.75"/>
    <row r="4429" s="84" customFormat="1" ht="12.75"/>
    <row r="4430" s="84" customFormat="1" ht="12.75"/>
    <row r="4431" s="84" customFormat="1" ht="12.75"/>
    <row r="4432" s="84" customFormat="1" ht="12.75"/>
    <row r="4433" s="84" customFormat="1" ht="12.75"/>
    <row r="4434" s="84" customFormat="1" ht="12.75"/>
    <row r="4435" s="84" customFormat="1" ht="12.75"/>
    <row r="4436" s="84" customFormat="1" ht="12.75"/>
    <row r="4437" s="84" customFormat="1" ht="12.75"/>
    <row r="4438" s="84" customFormat="1" ht="12.75"/>
    <row r="4439" s="84" customFormat="1" ht="12.75"/>
    <row r="4440" s="84" customFormat="1" ht="12.75"/>
    <row r="4441" s="84" customFormat="1" ht="12.75"/>
    <row r="4442" s="84" customFormat="1" ht="12.75"/>
    <row r="4443" s="84" customFormat="1" ht="12.75"/>
    <row r="4444" s="84" customFormat="1" ht="12.75"/>
    <row r="4445" s="84" customFormat="1" ht="12.75"/>
    <row r="4446" s="84" customFormat="1" ht="12.75"/>
    <row r="4447" s="84" customFormat="1" ht="12.75"/>
    <row r="4448" s="84" customFormat="1" ht="12.75"/>
    <row r="4449" s="84" customFormat="1" ht="12.75"/>
    <row r="4450" s="84" customFormat="1" ht="12.75"/>
    <row r="4451" s="84" customFormat="1" ht="12.75"/>
    <row r="4452" s="84" customFormat="1" ht="12.75"/>
    <row r="4453" s="84" customFormat="1" ht="12.75"/>
    <row r="4454" s="84" customFormat="1" ht="12.75"/>
    <row r="4455" s="84" customFormat="1" ht="12.75"/>
    <row r="4456" s="84" customFormat="1" ht="12.75"/>
    <row r="4457" s="84" customFormat="1" ht="12.75"/>
    <row r="4458" s="84" customFormat="1" ht="12.75"/>
    <row r="4459" s="84" customFormat="1" ht="12.75"/>
    <row r="4460" s="84" customFormat="1" ht="12.75"/>
    <row r="4461" s="84" customFormat="1" ht="12.75"/>
    <row r="4462" s="84" customFormat="1" ht="12.75"/>
    <row r="4463" s="84" customFormat="1" ht="12.75"/>
    <row r="4464" s="84" customFormat="1" ht="12.75"/>
    <row r="4465" s="84" customFormat="1" ht="12.75"/>
    <row r="4466" s="84" customFormat="1" ht="12.75"/>
    <row r="4467" s="84" customFormat="1" ht="12.75"/>
    <row r="4468" s="84" customFormat="1" ht="12.75"/>
    <row r="4469" s="84" customFormat="1" ht="12.75"/>
    <row r="4470" s="84" customFormat="1" ht="12.75"/>
    <row r="4471" s="84" customFormat="1" ht="12.75"/>
    <row r="4472" s="84" customFormat="1" ht="12.75"/>
    <row r="4473" s="84" customFormat="1" ht="12.75"/>
    <row r="4474" s="84" customFormat="1" ht="12.75"/>
    <row r="4475" s="84" customFormat="1" ht="12.75"/>
    <row r="4476" s="84" customFormat="1" ht="12.75"/>
    <row r="4477" s="84" customFormat="1" ht="12.75"/>
    <row r="4478" s="84" customFormat="1" ht="12.75"/>
    <row r="4479" s="84" customFormat="1" ht="12.75"/>
    <row r="4480" s="84" customFormat="1" ht="12.75"/>
    <row r="4481" s="84" customFormat="1" ht="12.75"/>
    <row r="4482" s="84" customFormat="1" ht="12.75"/>
    <row r="4483" s="84" customFormat="1" ht="12.75"/>
    <row r="4484" s="84" customFormat="1" ht="12.75"/>
    <row r="4485" s="84" customFormat="1" ht="12.75"/>
    <row r="4486" s="84" customFormat="1" ht="12.75"/>
    <row r="4487" s="84" customFormat="1" ht="12.75"/>
    <row r="4488" s="84" customFormat="1" ht="12.75"/>
    <row r="4489" s="84" customFormat="1" ht="12.75"/>
    <row r="4490" s="84" customFormat="1" ht="12.75"/>
    <row r="4491" s="84" customFormat="1" ht="12.75"/>
    <row r="4492" s="84" customFormat="1" ht="12.75"/>
    <row r="4493" s="84" customFormat="1" ht="12.75"/>
    <row r="4494" s="84" customFormat="1" ht="12.75"/>
    <row r="4495" s="84" customFormat="1" ht="12.75"/>
    <row r="4496" s="84" customFormat="1" ht="12.75"/>
    <row r="4497" s="84" customFormat="1" ht="12.75"/>
    <row r="4498" s="84" customFormat="1" ht="12.75"/>
    <row r="4499" s="84" customFormat="1" ht="12.75"/>
    <row r="4500" s="84" customFormat="1" ht="12.75"/>
    <row r="4501" s="84" customFormat="1" ht="12.75"/>
    <row r="4502" s="84" customFormat="1" ht="12.75"/>
    <row r="4503" s="84" customFormat="1" ht="12.75"/>
    <row r="4504" s="84" customFormat="1" ht="12.75"/>
    <row r="4505" s="84" customFormat="1" ht="12.75"/>
    <row r="4506" s="84" customFormat="1" ht="12.75"/>
    <row r="4507" s="84" customFormat="1" ht="12.75"/>
    <row r="4508" s="84" customFormat="1" ht="12.75"/>
    <row r="4509" s="84" customFormat="1" ht="12.75"/>
    <row r="4510" s="84" customFormat="1" ht="12.75"/>
    <row r="4511" s="84" customFormat="1" ht="12.75"/>
    <row r="4512" s="84" customFormat="1" ht="12.75"/>
    <row r="4513" s="84" customFormat="1" ht="12.75"/>
    <row r="4514" s="84" customFormat="1" ht="12.75"/>
    <row r="4515" s="84" customFormat="1" ht="12.75"/>
    <row r="4516" s="84" customFormat="1" ht="12.75"/>
    <row r="4517" s="84" customFormat="1" ht="12.75"/>
    <row r="4518" s="84" customFormat="1" ht="12.75"/>
    <row r="4519" s="84" customFormat="1" ht="12.75"/>
    <row r="4520" s="84" customFormat="1" ht="12.75"/>
    <row r="4521" s="84" customFormat="1" ht="12.75"/>
    <row r="4522" s="84" customFormat="1" ht="12.75"/>
    <row r="4523" s="84" customFormat="1" ht="12.75"/>
    <row r="4524" s="84" customFormat="1" ht="12.75"/>
    <row r="4525" s="84" customFormat="1" ht="12.75"/>
    <row r="4526" s="84" customFormat="1" ht="12.75"/>
    <row r="4527" s="84" customFormat="1" ht="12.75"/>
    <row r="4528" s="84" customFormat="1" ht="12.75"/>
    <row r="4529" s="84" customFormat="1" ht="12.75"/>
    <row r="4530" s="84" customFormat="1" ht="12.75"/>
    <row r="4531" s="84" customFormat="1" ht="12.75"/>
    <row r="4532" s="84" customFormat="1" ht="12.75"/>
    <row r="4533" s="84" customFormat="1" ht="12.75"/>
    <row r="4534" s="84" customFormat="1" ht="12.75"/>
    <row r="4535" s="84" customFormat="1" ht="12.75"/>
    <row r="4536" s="84" customFormat="1" ht="12.75"/>
    <row r="4537" s="84" customFormat="1" ht="12.75"/>
    <row r="4538" s="84" customFormat="1" ht="12.75"/>
    <row r="4539" s="84" customFormat="1" ht="12.75"/>
    <row r="4540" s="84" customFormat="1" ht="12.75"/>
    <row r="4541" s="84" customFormat="1" ht="12.75"/>
    <row r="4542" s="84" customFormat="1" ht="12.75"/>
    <row r="4543" s="84" customFormat="1" ht="12.75"/>
    <row r="4544" s="84" customFormat="1" ht="12.75"/>
    <row r="4545" s="84" customFormat="1" ht="12.75"/>
    <row r="4546" s="84" customFormat="1" ht="12.75"/>
    <row r="4547" s="84" customFormat="1" ht="12.75"/>
    <row r="4548" s="84" customFormat="1" ht="12.75"/>
    <row r="4549" s="84" customFormat="1" ht="12.75"/>
    <row r="4550" s="84" customFormat="1" ht="12.75"/>
    <row r="4551" s="84" customFormat="1" ht="12.75"/>
    <row r="4552" s="84" customFormat="1" ht="12.75"/>
    <row r="4553" s="84" customFormat="1" ht="12.75"/>
    <row r="4554" s="84" customFormat="1" ht="12.75"/>
    <row r="4555" s="84" customFormat="1" ht="12.75"/>
    <row r="4556" s="84" customFormat="1" ht="12.75"/>
    <row r="4557" s="84" customFormat="1" ht="12.75"/>
    <row r="4558" s="84" customFormat="1" ht="12.75"/>
    <row r="4559" s="84" customFormat="1" ht="12.75"/>
    <row r="4560" s="84" customFormat="1" ht="12.75"/>
    <row r="4561" s="84" customFormat="1" ht="12.75"/>
    <row r="4562" s="84" customFormat="1" ht="12.75"/>
    <row r="4563" s="84" customFormat="1" ht="12.75"/>
    <row r="4564" s="84" customFormat="1" ht="12.75"/>
    <row r="4565" s="84" customFormat="1" ht="12.75"/>
    <row r="4566" s="84" customFormat="1" ht="12.75"/>
    <row r="4567" s="84" customFormat="1" ht="12.75"/>
    <row r="4568" s="84" customFormat="1" ht="12.75"/>
    <row r="4569" s="84" customFormat="1" ht="12.75"/>
    <row r="4570" s="84" customFormat="1" ht="12.75"/>
    <row r="4571" s="84" customFormat="1" ht="12.75"/>
    <row r="4572" s="84" customFormat="1" ht="12.75"/>
    <row r="4573" s="84" customFormat="1" ht="12.75"/>
    <row r="4574" s="84" customFormat="1" ht="12.75"/>
    <row r="4575" s="84" customFormat="1" ht="12.75"/>
    <row r="4576" s="84" customFormat="1" ht="12.75"/>
    <row r="4577" s="84" customFormat="1" ht="12.75"/>
    <row r="4578" s="84" customFormat="1" ht="12.75"/>
    <row r="4579" s="84" customFormat="1" ht="12.75"/>
    <row r="4580" s="84" customFormat="1" ht="12.75"/>
    <row r="4581" s="84" customFormat="1" ht="12.75"/>
    <row r="4582" s="84" customFormat="1" ht="12.75"/>
    <row r="4583" s="84" customFormat="1" ht="12.75"/>
    <row r="4584" s="84" customFormat="1" ht="12.75"/>
  </sheetData>
  <mergeCells count="7">
    <mergeCell ref="S57:X57"/>
    <mergeCell ref="L57:Q57"/>
    <mergeCell ref="B88:G88"/>
    <mergeCell ref="B87:G87"/>
    <mergeCell ref="B86:E86"/>
    <mergeCell ref="F86:G86"/>
    <mergeCell ref="B57:G5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640"/>
  <sheetViews>
    <sheetView workbookViewId="0" topLeftCell="F1">
      <selection activeCell="U2" sqref="U2"/>
    </sheetView>
  </sheetViews>
  <sheetFormatPr defaultColWidth="9.140625" defaultRowHeight="12.75"/>
  <cols>
    <col min="1" max="1" width="9.140625" style="34" customWidth="1"/>
    <col min="2" max="2" width="9.140625" style="44" customWidth="1"/>
    <col min="3" max="10" width="9.140625" style="34" customWidth="1"/>
    <col min="11" max="11" width="9.140625" style="35" customWidth="1"/>
    <col min="12" max="12" width="9.140625" style="44" customWidth="1"/>
    <col min="13" max="21" width="9.140625" style="34" customWidth="1"/>
    <col min="22" max="22" width="3.7109375" style="34" customWidth="1"/>
    <col min="23" max="23" width="8.00390625" style="34" customWidth="1"/>
    <col min="24" max="24" width="3.57421875" style="34" customWidth="1"/>
    <col min="25" max="26" width="9.140625" style="46" customWidth="1"/>
    <col min="27" max="16384" width="9.140625" style="34" customWidth="1"/>
  </cols>
  <sheetData>
    <row r="2" spans="2:28" ht="12.75">
      <c r="B2" s="45" t="s">
        <v>0</v>
      </c>
      <c r="C2" s="31">
        <v>0</v>
      </c>
      <c r="D2" s="31">
        <v>3.78</v>
      </c>
      <c r="E2" s="31">
        <v>6.91</v>
      </c>
      <c r="F2" s="31">
        <v>10.03</v>
      </c>
      <c r="G2" s="31">
        <v>13.16</v>
      </c>
      <c r="H2" s="31">
        <v>15.17</v>
      </c>
      <c r="I2" s="31">
        <v>17.18</v>
      </c>
      <c r="J2" s="31">
        <v>19.2</v>
      </c>
      <c r="K2" s="31">
        <v>23</v>
      </c>
      <c r="L2" s="45" t="s">
        <v>3</v>
      </c>
      <c r="M2" s="33">
        <f>Database_Tabelle!G71</f>
        <v>1.34350064350064</v>
      </c>
      <c r="N2" s="33">
        <f>Database_Tabelle!G72</f>
        <v>7.101360544217691</v>
      </c>
      <c r="O2" s="33">
        <f>Database_Tabelle!G73</f>
        <v>16.12200772200772</v>
      </c>
      <c r="P2" s="33">
        <f>Database_Tabelle!G74</f>
        <v>29.46104982533554</v>
      </c>
      <c r="Q2" s="33">
        <f>Database_Tabelle!G75</f>
        <v>45.295164552307426</v>
      </c>
      <c r="R2" s="33">
        <f>Database_Tabelle!G76</f>
        <v>54.219847398418835</v>
      </c>
      <c r="S2" s="33">
        <f>Database_Tabelle!G77</f>
        <v>62.37681559110132</v>
      </c>
      <c r="T2" s="33">
        <f>Database_Tabelle!G78</f>
        <v>69.09431880860453</v>
      </c>
      <c r="U2" s="33">
        <f>Database_Tabelle!G79</f>
        <v>79.65039529325244</v>
      </c>
      <c r="V2" s="33"/>
      <c r="W2" s="33">
        <f>Analisi!L34</f>
        <v>79.5352380952381</v>
      </c>
      <c r="X2" s="33"/>
      <c r="Y2" s="47">
        <v>0</v>
      </c>
      <c r="Z2" s="46">
        <f>IF(AND(Y2&gt;M2,Y2&lt;=U2,Y2&lt;=W2),_XLL.SPLINE(M2:U2,C2:K2,Y2),0)</f>
        <v>0</v>
      </c>
      <c r="AA2" s="34">
        <f>IF(Y2&lt;AB2,Z2,0)</f>
        <v>0</v>
      </c>
      <c r="AB2" s="34">
        <f>Analisi!F35</f>
        <v>6.035238095238096</v>
      </c>
    </row>
    <row r="3" spans="2:28" s="35" customFormat="1" ht="12.75">
      <c r="B3" s="44" t="str">
        <f>B2</f>
        <v>Peso</v>
      </c>
      <c r="C3" s="35">
        <f aca="true" t="shared" si="0" ref="C3:T3">C2</f>
        <v>0</v>
      </c>
      <c r="D3" s="35">
        <f t="shared" si="0"/>
        <v>3.78</v>
      </c>
      <c r="E3" s="35">
        <f t="shared" si="0"/>
        <v>6.91</v>
      </c>
      <c r="F3" s="35">
        <f t="shared" si="0"/>
        <v>10.03</v>
      </c>
      <c r="G3" s="35">
        <f t="shared" si="0"/>
        <v>13.16</v>
      </c>
      <c r="H3" s="35">
        <f t="shared" si="0"/>
        <v>15.17</v>
      </c>
      <c r="I3" s="35">
        <f t="shared" si="0"/>
        <v>17.18</v>
      </c>
      <c r="J3" s="35">
        <f t="shared" si="0"/>
        <v>19.2</v>
      </c>
      <c r="K3" s="32">
        <f>K2</f>
        <v>23</v>
      </c>
      <c r="L3" s="44" t="str">
        <f t="shared" si="0"/>
        <v>Carico</v>
      </c>
      <c r="M3" s="35">
        <f t="shared" si="0"/>
        <v>1.34350064350064</v>
      </c>
      <c r="N3" s="35">
        <f t="shared" si="0"/>
        <v>7.101360544217691</v>
      </c>
      <c r="O3" s="35">
        <f t="shared" si="0"/>
        <v>16.12200772200772</v>
      </c>
      <c r="P3" s="35">
        <f t="shared" si="0"/>
        <v>29.46104982533554</v>
      </c>
      <c r="Q3" s="35">
        <f t="shared" si="0"/>
        <v>45.295164552307426</v>
      </c>
      <c r="R3" s="35">
        <f t="shared" si="0"/>
        <v>54.219847398418835</v>
      </c>
      <c r="S3" s="35">
        <f t="shared" si="0"/>
        <v>62.37681559110132</v>
      </c>
      <c r="T3" s="35">
        <f t="shared" si="0"/>
        <v>69.09431880860453</v>
      </c>
      <c r="U3" s="36">
        <f>U2</f>
        <v>79.65039529325244</v>
      </c>
      <c r="V3" s="36"/>
      <c r="W3" s="36">
        <f>W2</f>
        <v>79.5352380952381</v>
      </c>
      <c r="X3" s="36"/>
      <c r="Y3" s="47">
        <v>1</v>
      </c>
      <c r="Z3" s="46">
        <f>IF(AND(Y3&gt;M3,Y3&lt;=U3,Y3&lt;=W3),_XLL.SPLINE(M3:U3,C3:K3,Y3),0)</f>
        <v>0</v>
      </c>
      <c r="AA3" s="34">
        <f aca="true" t="shared" si="1" ref="AA3:AA66">IF(Y3&lt;AB3,Z3,0)</f>
        <v>0</v>
      </c>
      <c r="AB3" s="35">
        <f>AB2</f>
        <v>6.035238095238096</v>
      </c>
    </row>
    <row r="4" spans="2:28" s="35" customFormat="1" ht="12.75">
      <c r="B4" s="44" t="str">
        <f aca="true" t="shared" si="2" ref="B4:B67">B3</f>
        <v>Peso</v>
      </c>
      <c r="C4" s="35">
        <f aca="true" t="shared" si="3" ref="C4:C67">C3</f>
        <v>0</v>
      </c>
      <c r="D4" s="35">
        <f aca="true" t="shared" si="4" ref="D4:D67">D3</f>
        <v>3.78</v>
      </c>
      <c r="E4" s="35">
        <f aca="true" t="shared" si="5" ref="E4:E67">E3</f>
        <v>6.91</v>
      </c>
      <c r="F4" s="35">
        <f aca="true" t="shared" si="6" ref="F4:F67">F3</f>
        <v>10.03</v>
      </c>
      <c r="G4" s="35">
        <f aca="true" t="shared" si="7" ref="G4:G67">G3</f>
        <v>13.16</v>
      </c>
      <c r="H4" s="35">
        <f aca="true" t="shared" si="8" ref="H4:H67">H3</f>
        <v>15.17</v>
      </c>
      <c r="I4" s="35">
        <f aca="true" t="shared" si="9" ref="I4:I67">I3</f>
        <v>17.18</v>
      </c>
      <c r="J4" s="35">
        <f aca="true" t="shared" si="10" ref="J4:J67">J3</f>
        <v>19.2</v>
      </c>
      <c r="K4" s="32">
        <f aca="true" t="shared" si="11" ref="K4:K67">K3</f>
        <v>23</v>
      </c>
      <c r="L4" s="44" t="str">
        <f aca="true" t="shared" si="12" ref="L4:L67">L3</f>
        <v>Carico</v>
      </c>
      <c r="M4" s="35">
        <f aca="true" t="shared" si="13" ref="M4:M67">M3</f>
        <v>1.34350064350064</v>
      </c>
      <c r="N4" s="35">
        <f aca="true" t="shared" si="14" ref="N4:N67">N3</f>
        <v>7.101360544217691</v>
      </c>
      <c r="O4" s="35">
        <f aca="true" t="shared" si="15" ref="O4:O67">O3</f>
        <v>16.12200772200772</v>
      </c>
      <c r="P4" s="35">
        <f aca="true" t="shared" si="16" ref="P4:P67">P3</f>
        <v>29.46104982533554</v>
      </c>
      <c r="Q4" s="35">
        <f aca="true" t="shared" si="17" ref="Q4:Q67">Q3</f>
        <v>45.295164552307426</v>
      </c>
      <c r="R4" s="35">
        <f aca="true" t="shared" si="18" ref="R4:R67">R3</f>
        <v>54.219847398418835</v>
      </c>
      <c r="S4" s="35">
        <f aca="true" t="shared" si="19" ref="S4:S67">S3</f>
        <v>62.37681559110132</v>
      </c>
      <c r="T4" s="35">
        <f aca="true" t="shared" si="20" ref="T4:T67">T3</f>
        <v>69.09431880860453</v>
      </c>
      <c r="U4" s="36">
        <f aca="true" t="shared" si="21" ref="U4:U67">U3</f>
        <v>79.65039529325244</v>
      </c>
      <c r="V4" s="36"/>
      <c r="W4" s="36">
        <f aca="true" t="shared" si="22" ref="W4:W67">W3</f>
        <v>79.5352380952381</v>
      </c>
      <c r="X4" s="36"/>
      <c r="Y4" s="47">
        <v>2</v>
      </c>
      <c r="Z4" s="46">
        <f>IF(AND(Y4&gt;M4,Y4&lt;=U4,Y4&lt;=W4),_XLL.SPLINE(M4:U4,C4:K4,Y4),0)</f>
        <v>0.46983884502716083</v>
      </c>
      <c r="AA4" s="34">
        <f t="shared" si="1"/>
        <v>0.46983884502716083</v>
      </c>
      <c r="AB4" s="35">
        <f aca="true" t="shared" si="23" ref="AB4:AB67">AB3</f>
        <v>6.035238095238096</v>
      </c>
    </row>
    <row r="5" spans="2:28" s="35" customFormat="1" ht="12.75">
      <c r="B5" s="44" t="str">
        <f t="shared" si="2"/>
        <v>Peso</v>
      </c>
      <c r="C5" s="35">
        <f t="shared" si="3"/>
        <v>0</v>
      </c>
      <c r="D5" s="35">
        <f t="shared" si="4"/>
        <v>3.78</v>
      </c>
      <c r="E5" s="35">
        <f t="shared" si="5"/>
        <v>6.91</v>
      </c>
      <c r="F5" s="35">
        <f t="shared" si="6"/>
        <v>10.03</v>
      </c>
      <c r="G5" s="35">
        <f t="shared" si="7"/>
        <v>13.16</v>
      </c>
      <c r="H5" s="35">
        <f t="shared" si="8"/>
        <v>15.17</v>
      </c>
      <c r="I5" s="35">
        <f t="shared" si="9"/>
        <v>17.18</v>
      </c>
      <c r="J5" s="35">
        <f t="shared" si="10"/>
        <v>19.2</v>
      </c>
      <c r="K5" s="32">
        <f t="shared" si="11"/>
        <v>23</v>
      </c>
      <c r="L5" s="44" t="str">
        <f t="shared" si="12"/>
        <v>Carico</v>
      </c>
      <c r="M5" s="35">
        <f t="shared" si="13"/>
        <v>1.34350064350064</v>
      </c>
      <c r="N5" s="35">
        <f t="shared" si="14"/>
        <v>7.101360544217691</v>
      </c>
      <c r="O5" s="35">
        <f t="shared" si="15"/>
        <v>16.12200772200772</v>
      </c>
      <c r="P5" s="35">
        <f t="shared" si="16"/>
        <v>29.46104982533554</v>
      </c>
      <c r="Q5" s="35">
        <f t="shared" si="17"/>
        <v>45.295164552307426</v>
      </c>
      <c r="R5" s="35">
        <f t="shared" si="18"/>
        <v>54.219847398418835</v>
      </c>
      <c r="S5" s="35">
        <f t="shared" si="19"/>
        <v>62.37681559110132</v>
      </c>
      <c r="T5" s="35">
        <f t="shared" si="20"/>
        <v>69.09431880860453</v>
      </c>
      <c r="U5" s="36">
        <f t="shared" si="21"/>
        <v>79.65039529325244</v>
      </c>
      <c r="V5" s="36"/>
      <c r="W5" s="36">
        <f t="shared" si="22"/>
        <v>79.5352380952381</v>
      </c>
      <c r="X5" s="36"/>
      <c r="Y5" s="47">
        <v>3</v>
      </c>
      <c r="Z5" s="46">
        <f>IF(AND(Y5&gt;M5,Y5&lt;=U5,Y5&lt;=W5),_XLL.SPLINE(M5:U5,C5:K5,Y5),0)</f>
        <v>1.1785824201544741</v>
      </c>
      <c r="AA5" s="34">
        <f t="shared" si="1"/>
        <v>1.1785824201544741</v>
      </c>
      <c r="AB5" s="35">
        <f t="shared" si="23"/>
        <v>6.035238095238096</v>
      </c>
    </row>
    <row r="6" spans="2:28" s="35" customFormat="1" ht="12.75">
      <c r="B6" s="44" t="str">
        <f t="shared" si="2"/>
        <v>Peso</v>
      </c>
      <c r="C6" s="35">
        <f t="shared" si="3"/>
        <v>0</v>
      </c>
      <c r="D6" s="35">
        <f t="shared" si="4"/>
        <v>3.78</v>
      </c>
      <c r="E6" s="35">
        <f t="shared" si="5"/>
        <v>6.91</v>
      </c>
      <c r="F6" s="35">
        <f t="shared" si="6"/>
        <v>10.03</v>
      </c>
      <c r="G6" s="35">
        <f t="shared" si="7"/>
        <v>13.16</v>
      </c>
      <c r="H6" s="35">
        <f t="shared" si="8"/>
        <v>15.17</v>
      </c>
      <c r="I6" s="35">
        <f t="shared" si="9"/>
        <v>17.18</v>
      </c>
      <c r="J6" s="35">
        <f t="shared" si="10"/>
        <v>19.2</v>
      </c>
      <c r="K6" s="32">
        <f t="shared" si="11"/>
        <v>23</v>
      </c>
      <c r="L6" s="44" t="str">
        <f t="shared" si="12"/>
        <v>Carico</v>
      </c>
      <c r="M6" s="35">
        <f t="shared" si="13"/>
        <v>1.34350064350064</v>
      </c>
      <c r="N6" s="35">
        <f t="shared" si="14"/>
        <v>7.101360544217691</v>
      </c>
      <c r="O6" s="35">
        <f t="shared" si="15"/>
        <v>16.12200772200772</v>
      </c>
      <c r="P6" s="35">
        <f t="shared" si="16"/>
        <v>29.46104982533554</v>
      </c>
      <c r="Q6" s="35">
        <f t="shared" si="17"/>
        <v>45.295164552307426</v>
      </c>
      <c r="R6" s="35">
        <f t="shared" si="18"/>
        <v>54.219847398418835</v>
      </c>
      <c r="S6" s="35">
        <f t="shared" si="19"/>
        <v>62.37681559110132</v>
      </c>
      <c r="T6" s="35">
        <f t="shared" si="20"/>
        <v>69.09431880860453</v>
      </c>
      <c r="U6" s="36">
        <f t="shared" si="21"/>
        <v>79.65039529325244</v>
      </c>
      <c r="V6" s="36"/>
      <c r="W6" s="36">
        <f t="shared" si="22"/>
        <v>79.5352380952381</v>
      </c>
      <c r="X6" s="36"/>
      <c r="Y6" s="47">
        <v>4</v>
      </c>
      <c r="Z6" s="46">
        <f>IF(AND(Y6&gt;M6,Y6&lt;=U6,Y6&lt;=W6),_XLL.SPLINE(M6:U6,C6:K6,Y6),0)</f>
        <v>1.869350898308442</v>
      </c>
      <c r="AA6" s="34">
        <f t="shared" si="1"/>
        <v>1.869350898308442</v>
      </c>
      <c r="AB6" s="35">
        <f t="shared" si="23"/>
        <v>6.035238095238096</v>
      </c>
    </row>
    <row r="7" spans="2:28" s="35" customFormat="1" ht="12.75">
      <c r="B7" s="44" t="str">
        <f t="shared" si="2"/>
        <v>Peso</v>
      </c>
      <c r="C7" s="35">
        <f t="shared" si="3"/>
        <v>0</v>
      </c>
      <c r="D7" s="35">
        <f t="shared" si="4"/>
        <v>3.78</v>
      </c>
      <c r="E7" s="35">
        <f t="shared" si="5"/>
        <v>6.91</v>
      </c>
      <c r="F7" s="35">
        <f t="shared" si="6"/>
        <v>10.03</v>
      </c>
      <c r="G7" s="35">
        <f t="shared" si="7"/>
        <v>13.16</v>
      </c>
      <c r="H7" s="35">
        <f t="shared" si="8"/>
        <v>15.17</v>
      </c>
      <c r="I7" s="35">
        <f t="shared" si="9"/>
        <v>17.18</v>
      </c>
      <c r="J7" s="35">
        <f t="shared" si="10"/>
        <v>19.2</v>
      </c>
      <c r="K7" s="32">
        <f t="shared" si="11"/>
        <v>23</v>
      </c>
      <c r="L7" s="44" t="str">
        <f t="shared" si="12"/>
        <v>Carico</v>
      </c>
      <c r="M7" s="35">
        <f t="shared" si="13"/>
        <v>1.34350064350064</v>
      </c>
      <c r="N7" s="35">
        <f t="shared" si="14"/>
        <v>7.101360544217691</v>
      </c>
      <c r="O7" s="35">
        <f t="shared" si="15"/>
        <v>16.12200772200772</v>
      </c>
      <c r="P7" s="35">
        <f t="shared" si="16"/>
        <v>29.46104982533554</v>
      </c>
      <c r="Q7" s="35">
        <f t="shared" si="17"/>
        <v>45.295164552307426</v>
      </c>
      <c r="R7" s="35">
        <f t="shared" si="18"/>
        <v>54.219847398418835</v>
      </c>
      <c r="S7" s="35">
        <f t="shared" si="19"/>
        <v>62.37681559110132</v>
      </c>
      <c r="T7" s="35">
        <f t="shared" si="20"/>
        <v>69.09431880860453</v>
      </c>
      <c r="U7" s="36">
        <f t="shared" si="21"/>
        <v>79.65039529325244</v>
      </c>
      <c r="V7" s="36"/>
      <c r="W7" s="36">
        <f t="shared" si="22"/>
        <v>79.5352380952381</v>
      </c>
      <c r="X7" s="36"/>
      <c r="Y7" s="47">
        <v>5</v>
      </c>
      <c r="Z7" s="46">
        <f>IF(AND(Y7&gt;M7,Y7&lt;=U7,Y7&lt;=W7),_XLL.SPLINE(M7:U7,C7:K7,Y7),0)</f>
        <v>2.5312930244597043</v>
      </c>
      <c r="AA7" s="34">
        <f t="shared" si="1"/>
        <v>2.5312930244597043</v>
      </c>
      <c r="AB7" s="35">
        <f t="shared" si="23"/>
        <v>6.035238095238096</v>
      </c>
    </row>
    <row r="8" spans="2:28" s="35" customFormat="1" ht="12.75">
      <c r="B8" s="44" t="str">
        <f t="shared" si="2"/>
        <v>Peso</v>
      </c>
      <c r="C8" s="35">
        <f t="shared" si="3"/>
        <v>0</v>
      </c>
      <c r="D8" s="35">
        <f t="shared" si="4"/>
        <v>3.78</v>
      </c>
      <c r="E8" s="35">
        <f t="shared" si="5"/>
        <v>6.91</v>
      </c>
      <c r="F8" s="35">
        <f t="shared" si="6"/>
        <v>10.03</v>
      </c>
      <c r="G8" s="35">
        <f t="shared" si="7"/>
        <v>13.16</v>
      </c>
      <c r="H8" s="35">
        <f t="shared" si="8"/>
        <v>15.17</v>
      </c>
      <c r="I8" s="35">
        <f t="shared" si="9"/>
        <v>17.18</v>
      </c>
      <c r="J8" s="35">
        <f t="shared" si="10"/>
        <v>19.2</v>
      </c>
      <c r="K8" s="32">
        <f t="shared" si="11"/>
        <v>23</v>
      </c>
      <c r="L8" s="44" t="str">
        <f t="shared" si="12"/>
        <v>Carico</v>
      </c>
      <c r="M8" s="35">
        <f t="shared" si="13"/>
        <v>1.34350064350064</v>
      </c>
      <c r="N8" s="35">
        <f t="shared" si="14"/>
        <v>7.101360544217691</v>
      </c>
      <c r="O8" s="35">
        <f t="shared" si="15"/>
        <v>16.12200772200772</v>
      </c>
      <c r="P8" s="35">
        <f t="shared" si="16"/>
        <v>29.46104982533554</v>
      </c>
      <c r="Q8" s="35">
        <f t="shared" si="17"/>
        <v>45.295164552307426</v>
      </c>
      <c r="R8" s="35">
        <f t="shared" si="18"/>
        <v>54.219847398418835</v>
      </c>
      <c r="S8" s="35">
        <f t="shared" si="19"/>
        <v>62.37681559110132</v>
      </c>
      <c r="T8" s="35">
        <f t="shared" si="20"/>
        <v>69.09431880860453</v>
      </c>
      <c r="U8" s="36">
        <f t="shared" si="21"/>
        <v>79.65039529325244</v>
      </c>
      <c r="V8" s="36"/>
      <c r="W8" s="36">
        <f t="shared" si="22"/>
        <v>79.5352380952381</v>
      </c>
      <c r="X8" s="36"/>
      <c r="Y8" s="47">
        <v>6</v>
      </c>
      <c r="Z8" s="46">
        <f>IF(AND(Y8&gt;M8,Y8&lt;=U8,Y8&lt;=W8),_XLL.SPLINE(M8:U8,C8:K8,Y8),0)</f>
        <v>3.1535575435789016</v>
      </c>
      <c r="AA8" s="34">
        <f t="shared" si="1"/>
        <v>3.1535575435789016</v>
      </c>
      <c r="AB8" s="35">
        <f t="shared" si="23"/>
        <v>6.035238095238096</v>
      </c>
    </row>
    <row r="9" spans="2:28" s="35" customFormat="1" ht="12.75">
      <c r="B9" s="44" t="str">
        <f t="shared" si="2"/>
        <v>Peso</v>
      </c>
      <c r="C9" s="35">
        <f t="shared" si="3"/>
        <v>0</v>
      </c>
      <c r="D9" s="35">
        <f t="shared" si="4"/>
        <v>3.78</v>
      </c>
      <c r="E9" s="35">
        <f t="shared" si="5"/>
        <v>6.91</v>
      </c>
      <c r="F9" s="35">
        <f t="shared" si="6"/>
        <v>10.03</v>
      </c>
      <c r="G9" s="35">
        <f t="shared" si="7"/>
        <v>13.16</v>
      </c>
      <c r="H9" s="35">
        <f t="shared" si="8"/>
        <v>15.17</v>
      </c>
      <c r="I9" s="35">
        <f t="shared" si="9"/>
        <v>17.18</v>
      </c>
      <c r="J9" s="35">
        <f t="shared" si="10"/>
        <v>19.2</v>
      </c>
      <c r="K9" s="32">
        <f t="shared" si="11"/>
        <v>23</v>
      </c>
      <c r="L9" s="44" t="str">
        <f t="shared" si="12"/>
        <v>Carico</v>
      </c>
      <c r="M9" s="35">
        <f t="shared" si="13"/>
        <v>1.34350064350064</v>
      </c>
      <c r="N9" s="35">
        <f t="shared" si="14"/>
        <v>7.101360544217691</v>
      </c>
      <c r="O9" s="35">
        <f t="shared" si="15"/>
        <v>16.12200772200772</v>
      </c>
      <c r="P9" s="35">
        <f t="shared" si="16"/>
        <v>29.46104982533554</v>
      </c>
      <c r="Q9" s="35">
        <f t="shared" si="17"/>
        <v>45.295164552307426</v>
      </c>
      <c r="R9" s="35">
        <f t="shared" si="18"/>
        <v>54.219847398418835</v>
      </c>
      <c r="S9" s="35">
        <f t="shared" si="19"/>
        <v>62.37681559110132</v>
      </c>
      <c r="T9" s="35">
        <f t="shared" si="20"/>
        <v>69.09431880860453</v>
      </c>
      <c r="U9" s="36">
        <f t="shared" si="21"/>
        <v>79.65039529325244</v>
      </c>
      <c r="V9" s="36"/>
      <c r="W9" s="36">
        <f t="shared" si="22"/>
        <v>79.5352380952381</v>
      </c>
      <c r="X9" s="36"/>
      <c r="Y9" s="47">
        <v>7</v>
      </c>
      <c r="Z9" s="46">
        <f>IF(AND(Y9&gt;M9,Y9&lt;=U9,Y9&lt;=W9),_XLL.SPLINE(M9:U9,C9:K9,Y9),0)</f>
        <v>3.725293200636674</v>
      </c>
      <c r="AA9" s="34">
        <f t="shared" si="1"/>
        <v>0</v>
      </c>
      <c r="AB9" s="35">
        <f t="shared" si="23"/>
        <v>6.035238095238096</v>
      </c>
    </row>
    <row r="10" spans="2:28" s="35" customFormat="1" ht="12.75">
      <c r="B10" s="44" t="str">
        <f t="shared" si="2"/>
        <v>Peso</v>
      </c>
      <c r="C10" s="35">
        <f t="shared" si="3"/>
        <v>0</v>
      </c>
      <c r="D10" s="35">
        <f t="shared" si="4"/>
        <v>3.78</v>
      </c>
      <c r="E10" s="35">
        <f t="shared" si="5"/>
        <v>6.91</v>
      </c>
      <c r="F10" s="35">
        <f t="shared" si="6"/>
        <v>10.03</v>
      </c>
      <c r="G10" s="35">
        <f t="shared" si="7"/>
        <v>13.16</v>
      </c>
      <c r="H10" s="35">
        <f t="shared" si="8"/>
        <v>15.17</v>
      </c>
      <c r="I10" s="35">
        <f t="shared" si="9"/>
        <v>17.18</v>
      </c>
      <c r="J10" s="35">
        <f t="shared" si="10"/>
        <v>19.2</v>
      </c>
      <c r="K10" s="32">
        <f t="shared" si="11"/>
        <v>23</v>
      </c>
      <c r="L10" s="44" t="str">
        <f t="shared" si="12"/>
        <v>Carico</v>
      </c>
      <c r="M10" s="35">
        <f t="shared" si="13"/>
        <v>1.34350064350064</v>
      </c>
      <c r="N10" s="35">
        <f t="shared" si="14"/>
        <v>7.101360544217691</v>
      </c>
      <c r="O10" s="35">
        <f t="shared" si="15"/>
        <v>16.12200772200772</v>
      </c>
      <c r="P10" s="35">
        <f t="shared" si="16"/>
        <v>29.46104982533554</v>
      </c>
      <c r="Q10" s="35">
        <f t="shared" si="17"/>
        <v>45.295164552307426</v>
      </c>
      <c r="R10" s="35">
        <f t="shared" si="18"/>
        <v>54.219847398418835</v>
      </c>
      <c r="S10" s="35">
        <f t="shared" si="19"/>
        <v>62.37681559110132</v>
      </c>
      <c r="T10" s="35">
        <f t="shared" si="20"/>
        <v>69.09431880860453</v>
      </c>
      <c r="U10" s="36">
        <f t="shared" si="21"/>
        <v>79.65039529325244</v>
      </c>
      <c r="V10" s="36"/>
      <c r="W10" s="36">
        <f t="shared" si="22"/>
        <v>79.5352380952381</v>
      </c>
      <c r="X10" s="36"/>
      <c r="Y10" s="47">
        <v>8</v>
      </c>
      <c r="Z10" s="46">
        <f>IF(AND(Y10&gt;M10,Y10&lt;=U10,Y10&lt;=W10),_XLL.SPLINE(M10:U10,C10:K10,Y10),0)</f>
        <v>4.237783551706711</v>
      </c>
      <c r="AA10" s="34">
        <f t="shared" si="1"/>
        <v>0</v>
      </c>
      <c r="AB10" s="35">
        <f t="shared" si="23"/>
        <v>6.035238095238096</v>
      </c>
    </row>
    <row r="11" spans="2:28" s="35" customFormat="1" ht="12.75">
      <c r="B11" s="44" t="str">
        <f t="shared" si="2"/>
        <v>Peso</v>
      </c>
      <c r="C11" s="35">
        <f t="shared" si="3"/>
        <v>0</v>
      </c>
      <c r="D11" s="35">
        <f t="shared" si="4"/>
        <v>3.78</v>
      </c>
      <c r="E11" s="35">
        <f t="shared" si="5"/>
        <v>6.91</v>
      </c>
      <c r="F11" s="35">
        <f t="shared" si="6"/>
        <v>10.03</v>
      </c>
      <c r="G11" s="35">
        <f t="shared" si="7"/>
        <v>13.16</v>
      </c>
      <c r="H11" s="35">
        <f t="shared" si="8"/>
        <v>15.17</v>
      </c>
      <c r="I11" s="35">
        <f t="shared" si="9"/>
        <v>17.18</v>
      </c>
      <c r="J11" s="35">
        <f t="shared" si="10"/>
        <v>19.2</v>
      </c>
      <c r="K11" s="32">
        <f t="shared" si="11"/>
        <v>23</v>
      </c>
      <c r="L11" s="44" t="str">
        <f t="shared" si="12"/>
        <v>Carico</v>
      </c>
      <c r="M11" s="35">
        <f t="shared" si="13"/>
        <v>1.34350064350064</v>
      </c>
      <c r="N11" s="35">
        <f t="shared" si="14"/>
        <v>7.101360544217691</v>
      </c>
      <c r="O11" s="35">
        <f t="shared" si="15"/>
        <v>16.12200772200772</v>
      </c>
      <c r="P11" s="35">
        <f t="shared" si="16"/>
        <v>29.46104982533554</v>
      </c>
      <c r="Q11" s="35">
        <f t="shared" si="17"/>
        <v>45.295164552307426</v>
      </c>
      <c r="R11" s="35">
        <f t="shared" si="18"/>
        <v>54.219847398418835</v>
      </c>
      <c r="S11" s="35">
        <f t="shared" si="19"/>
        <v>62.37681559110132</v>
      </c>
      <c r="T11" s="35">
        <f t="shared" si="20"/>
        <v>69.09431880860453</v>
      </c>
      <c r="U11" s="36">
        <f t="shared" si="21"/>
        <v>79.65039529325244</v>
      </c>
      <c r="V11" s="36"/>
      <c r="W11" s="36">
        <f t="shared" si="22"/>
        <v>79.5352380952381</v>
      </c>
      <c r="X11" s="36"/>
      <c r="Y11" s="47">
        <v>9</v>
      </c>
      <c r="Z11" s="46">
        <f>IF(AND(Y11&gt;M11,Y11&lt;=U11,Y11&lt;=W11),_XLL.SPLINE(M11:U11,C11:K11,Y11),0)</f>
        <v>4.69390692909144</v>
      </c>
      <c r="AA11" s="34">
        <f t="shared" si="1"/>
        <v>0</v>
      </c>
      <c r="AB11" s="35">
        <f t="shared" si="23"/>
        <v>6.035238095238096</v>
      </c>
    </row>
    <row r="12" spans="2:28" s="35" customFormat="1" ht="12.75">
      <c r="B12" s="44" t="str">
        <f t="shared" si="2"/>
        <v>Peso</v>
      </c>
      <c r="C12" s="35">
        <f t="shared" si="3"/>
        <v>0</v>
      </c>
      <c r="D12" s="35">
        <f t="shared" si="4"/>
        <v>3.78</v>
      </c>
      <c r="E12" s="35">
        <f t="shared" si="5"/>
        <v>6.91</v>
      </c>
      <c r="F12" s="35">
        <f t="shared" si="6"/>
        <v>10.03</v>
      </c>
      <c r="G12" s="35">
        <f t="shared" si="7"/>
        <v>13.16</v>
      </c>
      <c r="H12" s="35">
        <f t="shared" si="8"/>
        <v>15.17</v>
      </c>
      <c r="I12" s="35">
        <f t="shared" si="9"/>
        <v>17.18</v>
      </c>
      <c r="J12" s="35">
        <f t="shared" si="10"/>
        <v>19.2</v>
      </c>
      <c r="K12" s="32">
        <f t="shared" si="11"/>
        <v>23</v>
      </c>
      <c r="L12" s="44" t="str">
        <f t="shared" si="12"/>
        <v>Carico</v>
      </c>
      <c r="M12" s="35">
        <f t="shared" si="13"/>
        <v>1.34350064350064</v>
      </c>
      <c r="N12" s="35">
        <f t="shared" si="14"/>
        <v>7.101360544217691</v>
      </c>
      <c r="O12" s="35">
        <f t="shared" si="15"/>
        <v>16.12200772200772</v>
      </c>
      <c r="P12" s="35">
        <f t="shared" si="16"/>
        <v>29.46104982533554</v>
      </c>
      <c r="Q12" s="35">
        <f t="shared" si="17"/>
        <v>45.295164552307426</v>
      </c>
      <c r="R12" s="35">
        <f t="shared" si="18"/>
        <v>54.219847398418835</v>
      </c>
      <c r="S12" s="35">
        <f t="shared" si="19"/>
        <v>62.37681559110132</v>
      </c>
      <c r="T12" s="35">
        <f t="shared" si="20"/>
        <v>69.09431880860453</v>
      </c>
      <c r="U12" s="36">
        <f t="shared" si="21"/>
        <v>79.65039529325244</v>
      </c>
      <c r="V12" s="36"/>
      <c r="W12" s="36">
        <f t="shared" si="22"/>
        <v>79.5352380952381</v>
      </c>
      <c r="X12" s="36"/>
      <c r="Y12" s="47">
        <v>10</v>
      </c>
      <c r="Z12" s="46">
        <f>IF(AND(Y12&gt;M12,Y12&lt;=U12,Y12&lt;=W12),_XLL.SPLINE(M12:U12,C12:K12,Y12),0)</f>
        <v>5.100459402235215</v>
      </c>
      <c r="AA12" s="34">
        <f t="shared" si="1"/>
        <v>0</v>
      </c>
      <c r="AB12" s="35">
        <f t="shared" si="23"/>
        <v>6.035238095238096</v>
      </c>
    </row>
    <row r="13" spans="2:28" s="35" customFormat="1" ht="12.75">
      <c r="B13" s="44" t="str">
        <f t="shared" si="2"/>
        <v>Peso</v>
      </c>
      <c r="C13" s="35">
        <f t="shared" si="3"/>
        <v>0</v>
      </c>
      <c r="D13" s="35">
        <f t="shared" si="4"/>
        <v>3.78</v>
      </c>
      <c r="E13" s="35">
        <f t="shared" si="5"/>
        <v>6.91</v>
      </c>
      <c r="F13" s="35">
        <f t="shared" si="6"/>
        <v>10.03</v>
      </c>
      <c r="G13" s="35">
        <f t="shared" si="7"/>
        <v>13.16</v>
      </c>
      <c r="H13" s="35">
        <f t="shared" si="8"/>
        <v>15.17</v>
      </c>
      <c r="I13" s="35">
        <f t="shared" si="9"/>
        <v>17.18</v>
      </c>
      <c r="J13" s="35">
        <f t="shared" si="10"/>
        <v>19.2</v>
      </c>
      <c r="K13" s="32">
        <f t="shared" si="11"/>
        <v>23</v>
      </c>
      <c r="L13" s="44" t="str">
        <f t="shared" si="12"/>
        <v>Carico</v>
      </c>
      <c r="M13" s="35">
        <f t="shared" si="13"/>
        <v>1.34350064350064</v>
      </c>
      <c r="N13" s="35">
        <f t="shared" si="14"/>
        <v>7.101360544217691</v>
      </c>
      <c r="O13" s="35">
        <f t="shared" si="15"/>
        <v>16.12200772200772</v>
      </c>
      <c r="P13" s="35">
        <f t="shared" si="16"/>
        <v>29.46104982533554</v>
      </c>
      <c r="Q13" s="35">
        <f t="shared" si="17"/>
        <v>45.295164552307426</v>
      </c>
      <c r="R13" s="35">
        <f t="shared" si="18"/>
        <v>54.219847398418835</v>
      </c>
      <c r="S13" s="35">
        <f t="shared" si="19"/>
        <v>62.37681559110132</v>
      </c>
      <c r="T13" s="35">
        <f t="shared" si="20"/>
        <v>69.09431880860453</v>
      </c>
      <c r="U13" s="36">
        <f t="shared" si="21"/>
        <v>79.65039529325244</v>
      </c>
      <c r="V13" s="36"/>
      <c r="W13" s="36">
        <f t="shared" si="22"/>
        <v>79.5352380952381</v>
      </c>
      <c r="X13" s="36"/>
      <c r="Y13" s="47">
        <v>11</v>
      </c>
      <c r="Z13" s="46">
        <f>IF(AND(Y13&gt;M13,Y13&lt;=U13,Y13&lt;=W13),_XLL.SPLINE(M13:U13,C13:K13,Y13),0)</f>
        <v>5.4642401040253965</v>
      </c>
      <c r="AA13" s="34">
        <f t="shared" si="1"/>
        <v>0</v>
      </c>
      <c r="AB13" s="35">
        <f t="shared" si="23"/>
        <v>6.035238095238096</v>
      </c>
    </row>
    <row r="14" spans="2:28" s="35" customFormat="1" ht="12.75">
      <c r="B14" s="44" t="str">
        <f t="shared" si="2"/>
        <v>Peso</v>
      </c>
      <c r="C14" s="35">
        <f t="shared" si="3"/>
        <v>0</v>
      </c>
      <c r="D14" s="35">
        <f t="shared" si="4"/>
        <v>3.78</v>
      </c>
      <c r="E14" s="35">
        <f t="shared" si="5"/>
        <v>6.91</v>
      </c>
      <c r="F14" s="35">
        <f t="shared" si="6"/>
        <v>10.03</v>
      </c>
      <c r="G14" s="35">
        <f t="shared" si="7"/>
        <v>13.16</v>
      </c>
      <c r="H14" s="35">
        <f t="shared" si="8"/>
        <v>15.17</v>
      </c>
      <c r="I14" s="35">
        <f t="shared" si="9"/>
        <v>17.18</v>
      </c>
      <c r="J14" s="35">
        <f t="shared" si="10"/>
        <v>19.2</v>
      </c>
      <c r="K14" s="32">
        <f t="shared" si="11"/>
        <v>23</v>
      </c>
      <c r="L14" s="44" t="str">
        <f t="shared" si="12"/>
        <v>Carico</v>
      </c>
      <c r="M14" s="35">
        <f t="shared" si="13"/>
        <v>1.34350064350064</v>
      </c>
      <c r="N14" s="35">
        <f t="shared" si="14"/>
        <v>7.101360544217691</v>
      </c>
      <c r="O14" s="35">
        <f t="shared" si="15"/>
        <v>16.12200772200772</v>
      </c>
      <c r="P14" s="35">
        <f t="shared" si="16"/>
        <v>29.46104982533554</v>
      </c>
      <c r="Q14" s="35">
        <f t="shared" si="17"/>
        <v>45.295164552307426</v>
      </c>
      <c r="R14" s="35">
        <f t="shared" si="18"/>
        <v>54.219847398418835</v>
      </c>
      <c r="S14" s="35">
        <f t="shared" si="19"/>
        <v>62.37681559110132</v>
      </c>
      <c r="T14" s="35">
        <f t="shared" si="20"/>
        <v>69.09431880860453</v>
      </c>
      <c r="U14" s="36">
        <f t="shared" si="21"/>
        <v>79.65039529325244</v>
      </c>
      <c r="V14" s="36"/>
      <c r="W14" s="36">
        <f t="shared" si="22"/>
        <v>79.5352380952381</v>
      </c>
      <c r="X14" s="36"/>
      <c r="Y14" s="47">
        <v>12</v>
      </c>
      <c r="Z14" s="46">
        <f>IF(AND(Y14&gt;M14,Y14&lt;=U14,Y14&lt;=W14),_XLL.SPLINE(M14:U14,C14:K14,Y14),0)</f>
        <v>5.792048167349346</v>
      </c>
      <c r="AA14" s="34">
        <f t="shared" si="1"/>
        <v>0</v>
      </c>
      <c r="AB14" s="35">
        <f t="shared" si="23"/>
        <v>6.035238095238096</v>
      </c>
    </row>
    <row r="15" spans="2:28" s="35" customFormat="1" ht="12.75">
      <c r="B15" s="44" t="str">
        <f t="shared" si="2"/>
        <v>Peso</v>
      </c>
      <c r="C15" s="35">
        <f t="shared" si="3"/>
        <v>0</v>
      </c>
      <c r="D15" s="35">
        <f t="shared" si="4"/>
        <v>3.78</v>
      </c>
      <c r="E15" s="35">
        <f t="shared" si="5"/>
        <v>6.91</v>
      </c>
      <c r="F15" s="35">
        <f t="shared" si="6"/>
        <v>10.03</v>
      </c>
      <c r="G15" s="35">
        <f t="shared" si="7"/>
        <v>13.16</v>
      </c>
      <c r="H15" s="35">
        <f t="shared" si="8"/>
        <v>15.17</v>
      </c>
      <c r="I15" s="35">
        <f t="shared" si="9"/>
        <v>17.18</v>
      </c>
      <c r="J15" s="35">
        <f t="shared" si="10"/>
        <v>19.2</v>
      </c>
      <c r="K15" s="32">
        <f t="shared" si="11"/>
        <v>23</v>
      </c>
      <c r="L15" s="44" t="str">
        <f t="shared" si="12"/>
        <v>Carico</v>
      </c>
      <c r="M15" s="35">
        <f t="shared" si="13"/>
        <v>1.34350064350064</v>
      </c>
      <c r="N15" s="35">
        <f t="shared" si="14"/>
        <v>7.101360544217691</v>
      </c>
      <c r="O15" s="35">
        <f t="shared" si="15"/>
        <v>16.12200772200772</v>
      </c>
      <c r="P15" s="35">
        <f t="shared" si="16"/>
        <v>29.46104982533554</v>
      </c>
      <c r="Q15" s="35">
        <f t="shared" si="17"/>
        <v>45.295164552307426</v>
      </c>
      <c r="R15" s="35">
        <f t="shared" si="18"/>
        <v>54.219847398418835</v>
      </c>
      <c r="S15" s="35">
        <f t="shared" si="19"/>
        <v>62.37681559110132</v>
      </c>
      <c r="T15" s="35">
        <f t="shared" si="20"/>
        <v>69.09431880860453</v>
      </c>
      <c r="U15" s="36">
        <f t="shared" si="21"/>
        <v>79.65039529325244</v>
      </c>
      <c r="V15" s="36"/>
      <c r="W15" s="36">
        <f t="shared" si="22"/>
        <v>79.5352380952381</v>
      </c>
      <c r="X15" s="36"/>
      <c r="Y15" s="47">
        <v>13</v>
      </c>
      <c r="Z15" s="46">
        <f>IF(AND(Y15&gt;M15,Y15&lt;=U15,Y15&lt;=W15),_XLL.SPLINE(M15:U15,C15:K15,Y15),0)</f>
        <v>6.090682725094426</v>
      </c>
      <c r="AA15" s="34">
        <f t="shared" si="1"/>
        <v>0</v>
      </c>
      <c r="AB15" s="35">
        <f t="shared" si="23"/>
        <v>6.035238095238096</v>
      </c>
    </row>
    <row r="16" spans="2:28" s="35" customFormat="1" ht="12.75">
      <c r="B16" s="44" t="str">
        <f t="shared" si="2"/>
        <v>Peso</v>
      </c>
      <c r="C16" s="35">
        <f t="shared" si="3"/>
        <v>0</v>
      </c>
      <c r="D16" s="35">
        <f t="shared" si="4"/>
        <v>3.78</v>
      </c>
      <c r="E16" s="35">
        <f t="shared" si="5"/>
        <v>6.91</v>
      </c>
      <c r="F16" s="35">
        <f t="shared" si="6"/>
        <v>10.03</v>
      </c>
      <c r="G16" s="35">
        <f t="shared" si="7"/>
        <v>13.16</v>
      </c>
      <c r="H16" s="35">
        <f t="shared" si="8"/>
        <v>15.17</v>
      </c>
      <c r="I16" s="35">
        <f t="shared" si="9"/>
        <v>17.18</v>
      </c>
      <c r="J16" s="35">
        <f t="shared" si="10"/>
        <v>19.2</v>
      </c>
      <c r="K16" s="32">
        <f t="shared" si="11"/>
        <v>23</v>
      </c>
      <c r="L16" s="44" t="str">
        <f t="shared" si="12"/>
        <v>Carico</v>
      </c>
      <c r="M16" s="35">
        <f t="shared" si="13"/>
        <v>1.34350064350064</v>
      </c>
      <c r="N16" s="35">
        <f t="shared" si="14"/>
        <v>7.101360544217691</v>
      </c>
      <c r="O16" s="35">
        <f t="shared" si="15"/>
        <v>16.12200772200772</v>
      </c>
      <c r="P16" s="35">
        <f t="shared" si="16"/>
        <v>29.46104982533554</v>
      </c>
      <c r="Q16" s="35">
        <f t="shared" si="17"/>
        <v>45.295164552307426</v>
      </c>
      <c r="R16" s="35">
        <f t="shared" si="18"/>
        <v>54.219847398418835</v>
      </c>
      <c r="S16" s="35">
        <f t="shared" si="19"/>
        <v>62.37681559110132</v>
      </c>
      <c r="T16" s="35">
        <f t="shared" si="20"/>
        <v>69.09431880860453</v>
      </c>
      <c r="U16" s="36">
        <f t="shared" si="21"/>
        <v>79.65039529325244</v>
      </c>
      <c r="V16" s="36"/>
      <c r="W16" s="36">
        <f t="shared" si="22"/>
        <v>79.5352380952381</v>
      </c>
      <c r="X16" s="36"/>
      <c r="Y16" s="47">
        <v>14</v>
      </c>
      <c r="Z16" s="46">
        <f>IF(AND(Y16&gt;M16,Y16&lt;=U16,Y16&lt;=W16),_XLL.SPLINE(M16:U16,C16:K16,Y16),0)</f>
        <v>6.366942910147998</v>
      </c>
      <c r="AA16" s="34">
        <f t="shared" si="1"/>
        <v>0</v>
      </c>
      <c r="AB16" s="35">
        <f t="shared" si="23"/>
        <v>6.035238095238096</v>
      </c>
    </row>
    <row r="17" spans="2:28" s="35" customFormat="1" ht="12.75">
      <c r="B17" s="44" t="str">
        <f t="shared" si="2"/>
        <v>Peso</v>
      </c>
      <c r="C17" s="35">
        <f t="shared" si="3"/>
        <v>0</v>
      </c>
      <c r="D17" s="35">
        <f t="shared" si="4"/>
        <v>3.78</v>
      </c>
      <c r="E17" s="35">
        <f t="shared" si="5"/>
        <v>6.91</v>
      </c>
      <c r="F17" s="35">
        <f t="shared" si="6"/>
        <v>10.03</v>
      </c>
      <c r="G17" s="35">
        <f t="shared" si="7"/>
        <v>13.16</v>
      </c>
      <c r="H17" s="35">
        <f t="shared" si="8"/>
        <v>15.17</v>
      </c>
      <c r="I17" s="35">
        <f t="shared" si="9"/>
        <v>17.18</v>
      </c>
      <c r="J17" s="35">
        <f t="shared" si="10"/>
        <v>19.2</v>
      </c>
      <c r="K17" s="32">
        <f t="shared" si="11"/>
        <v>23</v>
      </c>
      <c r="L17" s="44" t="str">
        <f t="shared" si="12"/>
        <v>Carico</v>
      </c>
      <c r="M17" s="35">
        <f t="shared" si="13"/>
        <v>1.34350064350064</v>
      </c>
      <c r="N17" s="35">
        <f t="shared" si="14"/>
        <v>7.101360544217691</v>
      </c>
      <c r="O17" s="35">
        <f t="shared" si="15"/>
        <v>16.12200772200772</v>
      </c>
      <c r="P17" s="35">
        <f t="shared" si="16"/>
        <v>29.46104982533554</v>
      </c>
      <c r="Q17" s="35">
        <f t="shared" si="17"/>
        <v>45.295164552307426</v>
      </c>
      <c r="R17" s="35">
        <f t="shared" si="18"/>
        <v>54.219847398418835</v>
      </c>
      <c r="S17" s="35">
        <f t="shared" si="19"/>
        <v>62.37681559110132</v>
      </c>
      <c r="T17" s="35">
        <f t="shared" si="20"/>
        <v>69.09431880860453</v>
      </c>
      <c r="U17" s="36">
        <f t="shared" si="21"/>
        <v>79.65039529325244</v>
      </c>
      <c r="V17" s="36"/>
      <c r="W17" s="36">
        <f t="shared" si="22"/>
        <v>79.5352380952381</v>
      </c>
      <c r="X17" s="36"/>
      <c r="Y17" s="47">
        <v>15</v>
      </c>
      <c r="Z17" s="46">
        <f>IF(AND(Y17&gt;M17,Y17&lt;=U17,Y17&lt;=W17),_XLL.SPLINE(M17:U17,C17:K17,Y17),0)</f>
        <v>6.627627855397423</v>
      </c>
      <c r="AA17" s="34">
        <f t="shared" si="1"/>
        <v>0</v>
      </c>
      <c r="AB17" s="35">
        <f t="shared" si="23"/>
        <v>6.035238095238096</v>
      </c>
    </row>
    <row r="18" spans="2:28" s="35" customFormat="1" ht="12.75">
      <c r="B18" s="44" t="str">
        <f t="shared" si="2"/>
        <v>Peso</v>
      </c>
      <c r="C18" s="35">
        <f t="shared" si="3"/>
        <v>0</v>
      </c>
      <c r="D18" s="35">
        <f t="shared" si="4"/>
        <v>3.78</v>
      </c>
      <c r="E18" s="35">
        <f t="shared" si="5"/>
        <v>6.91</v>
      </c>
      <c r="F18" s="35">
        <f t="shared" si="6"/>
        <v>10.03</v>
      </c>
      <c r="G18" s="35">
        <f t="shared" si="7"/>
        <v>13.16</v>
      </c>
      <c r="H18" s="35">
        <f t="shared" si="8"/>
        <v>15.17</v>
      </c>
      <c r="I18" s="35">
        <f t="shared" si="9"/>
        <v>17.18</v>
      </c>
      <c r="J18" s="35">
        <f t="shared" si="10"/>
        <v>19.2</v>
      </c>
      <c r="K18" s="32">
        <f t="shared" si="11"/>
        <v>23</v>
      </c>
      <c r="L18" s="44" t="str">
        <f t="shared" si="12"/>
        <v>Carico</v>
      </c>
      <c r="M18" s="35">
        <f t="shared" si="13"/>
        <v>1.34350064350064</v>
      </c>
      <c r="N18" s="35">
        <f t="shared" si="14"/>
        <v>7.101360544217691</v>
      </c>
      <c r="O18" s="35">
        <f t="shared" si="15"/>
        <v>16.12200772200772</v>
      </c>
      <c r="P18" s="35">
        <f t="shared" si="16"/>
        <v>29.46104982533554</v>
      </c>
      <c r="Q18" s="35">
        <f t="shared" si="17"/>
        <v>45.295164552307426</v>
      </c>
      <c r="R18" s="35">
        <f t="shared" si="18"/>
        <v>54.219847398418835</v>
      </c>
      <c r="S18" s="35">
        <f t="shared" si="19"/>
        <v>62.37681559110132</v>
      </c>
      <c r="T18" s="35">
        <f t="shared" si="20"/>
        <v>69.09431880860453</v>
      </c>
      <c r="U18" s="36">
        <f t="shared" si="21"/>
        <v>79.65039529325244</v>
      </c>
      <c r="V18" s="36"/>
      <c r="W18" s="36">
        <f t="shared" si="22"/>
        <v>79.5352380952381</v>
      </c>
      <c r="X18" s="36"/>
      <c r="Y18" s="47">
        <v>16</v>
      </c>
      <c r="Z18" s="46">
        <f>IF(AND(Y18&gt;M18,Y18&lt;=U18,Y18&lt;=W18),_XLL.SPLINE(M18:U18,C18:K18,Y18),0)</f>
        <v>6.879536693730062</v>
      </c>
      <c r="AA18" s="34">
        <f t="shared" si="1"/>
        <v>0</v>
      </c>
      <c r="AB18" s="35">
        <f t="shared" si="23"/>
        <v>6.035238095238096</v>
      </c>
    </row>
    <row r="19" spans="2:28" s="35" customFormat="1" ht="12.75">
      <c r="B19" s="44" t="str">
        <f t="shared" si="2"/>
        <v>Peso</v>
      </c>
      <c r="C19" s="35">
        <f t="shared" si="3"/>
        <v>0</v>
      </c>
      <c r="D19" s="35">
        <f t="shared" si="4"/>
        <v>3.78</v>
      </c>
      <c r="E19" s="35">
        <f t="shared" si="5"/>
        <v>6.91</v>
      </c>
      <c r="F19" s="35">
        <f t="shared" si="6"/>
        <v>10.03</v>
      </c>
      <c r="G19" s="35">
        <f t="shared" si="7"/>
        <v>13.16</v>
      </c>
      <c r="H19" s="35">
        <f t="shared" si="8"/>
        <v>15.17</v>
      </c>
      <c r="I19" s="35">
        <f t="shared" si="9"/>
        <v>17.18</v>
      </c>
      <c r="J19" s="35">
        <f t="shared" si="10"/>
        <v>19.2</v>
      </c>
      <c r="K19" s="32">
        <f t="shared" si="11"/>
        <v>23</v>
      </c>
      <c r="L19" s="44" t="str">
        <f t="shared" si="12"/>
        <v>Carico</v>
      </c>
      <c r="M19" s="35">
        <f t="shared" si="13"/>
        <v>1.34350064350064</v>
      </c>
      <c r="N19" s="35">
        <f t="shared" si="14"/>
        <v>7.101360544217691</v>
      </c>
      <c r="O19" s="35">
        <f t="shared" si="15"/>
        <v>16.12200772200772</v>
      </c>
      <c r="P19" s="35">
        <f t="shared" si="16"/>
        <v>29.46104982533554</v>
      </c>
      <c r="Q19" s="35">
        <f t="shared" si="17"/>
        <v>45.295164552307426</v>
      </c>
      <c r="R19" s="35">
        <f t="shared" si="18"/>
        <v>54.219847398418835</v>
      </c>
      <c r="S19" s="35">
        <f t="shared" si="19"/>
        <v>62.37681559110132</v>
      </c>
      <c r="T19" s="35">
        <f t="shared" si="20"/>
        <v>69.09431880860453</v>
      </c>
      <c r="U19" s="36">
        <f t="shared" si="21"/>
        <v>79.65039529325244</v>
      </c>
      <c r="V19" s="36"/>
      <c r="W19" s="36">
        <f t="shared" si="22"/>
        <v>79.5352380952381</v>
      </c>
      <c r="X19" s="36"/>
      <c r="Y19" s="47">
        <v>17</v>
      </c>
      <c r="Z19" s="46">
        <f>IF(AND(Y19&gt;M19,Y19&lt;=U19,Y19&lt;=W19),_XLL.SPLINE(M19:U19,C19:K19,Y19),0)</f>
        <v>7.128670997299045</v>
      </c>
      <c r="AA19" s="34">
        <f t="shared" si="1"/>
        <v>0</v>
      </c>
      <c r="AB19" s="35">
        <f t="shared" si="23"/>
        <v>6.035238095238096</v>
      </c>
    </row>
    <row r="20" spans="2:28" s="35" customFormat="1" ht="12.75">
      <c r="B20" s="44" t="str">
        <f t="shared" si="2"/>
        <v>Peso</v>
      </c>
      <c r="C20" s="35">
        <f t="shared" si="3"/>
        <v>0</v>
      </c>
      <c r="D20" s="35">
        <f t="shared" si="4"/>
        <v>3.78</v>
      </c>
      <c r="E20" s="35">
        <f t="shared" si="5"/>
        <v>6.91</v>
      </c>
      <c r="F20" s="35">
        <f t="shared" si="6"/>
        <v>10.03</v>
      </c>
      <c r="G20" s="35">
        <f t="shared" si="7"/>
        <v>13.16</v>
      </c>
      <c r="H20" s="35">
        <f t="shared" si="8"/>
        <v>15.17</v>
      </c>
      <c r="I20" s="35">
        <f t="shared" si="9"/>
        <v>17.18</v>
      </c>
      <c r="J20" s="35">
        <f t="shared" si="10"/>
        <v>19.2</v>
      </c>
      <c r="K20" s="32">
        <f t="shared" si="11"/>
        <v>23</v>
      </c>
      <c r="L20" s="44" t="str">
        <f t="shared" si="12"/>
        <v>Carico</v>
      </c>
      <c r="M20" s="35">
        <f t="shared" si="13"/>
        <v>1.34350064350064</v>
      </c>
      <c r="N20" s="35">
        <f t="shared" si="14"/>
        <v>7.101360544217691</v>
      </c>
      <c r="O20" s="35">
        <f t="shared" si="15"/>
        <v>16.12200772200772</v>
      </c>
      <c r="P20" s="35">
        <f t="shared" si="16"/>
        <v>29.46104982533554</v>
      </c>
      <c r="Q20" s="35">
        <f t="shared" si="17"/>
        <v>45.295164552307426</v>
      </c>
      <c r="R20" s="35">
        <f t="shared" si="18"/>
        <v>54.219847398418835</v>
      </c>
      <c r="S20" s="35">
        <f t="shared" si="19"/>
        <v>62.37681559110132</v>
      </c>
      <c r="T20" s="35">
        <f t="shared" si="20"/>
        <v>69.09431880860453</v>
      </c>
      <c r="U20" s="36">
        <f t="shared" si="21"/>
        <v>79.65039529325244</v>
      </c>
      <c r="V20" s="36"/>
      <c r="W20" s="36">
        <f t="shared" si="22"/>
        <v>79.5352380952381</v>
      </c>
      <c r="X20" s="36"/>
      <c r="Y20" s="47">
        <v>18</v>
      </c>
      <c r="Z20" s="46">
        <f>IF(AND(Y20&gt;M20,Y20&lt;=U20,Y20&lt;=W20),_XLL.SPLINE(M20:U20,C20:K20,Y20),0)</f>
        <v>7.37641757805219</v>
      </c>
      <c r="AA20" s="34">
        <f t="shared" si="1"/>
        <v>0</v>
      </c>
      <c r="AB20" s="35">
        <f t="shared" si="23"/>
        <v>6.035238095238096</v>
      </c>
    </row>
    <row r="21" spans="2:28" s="35" customFormat="1" ht="12.75">
      <c r="B21" s="44" t="str">
        <f t="shared" si="2"/>
        <v>Peso</v>
      </c>
      <c r="C21" s="35">
        <f t="shared" si="3"/>
        <v>0</v>
      </c>
      <c r="D21" s="35">
        <f t="shared" si="4"/>
        <v>3.78</v>
      </c>
      <c r="E21" s="35">
        <f t="shared" si="5"/>
        <v>6.91</v>
      </c>
      <c r="F21" s="35">
        <f t="shared" si="6"/>
        <v>10.03</v>
      </c>
      <c r="G21" s="35">
        <f t="shared" si="7"/>
        <v>13.16</v>
      </c>
      <c r="H21" s="35">
        <f t="shared" si="8"/>
        <v>15.17</v>
      </c>
      <c r="I21" s="35">
        <f t="shared" si="9"/>
        <v>17.18</v>
      </c>
      <c r="J21" s="35">
        <f t="shared" si="10"/>
        <v>19.2</v>
      </c>
      <c r="K21" s="32">
        <f t="shared" si="11"/>
        <v>23</v>
      </c>
      <c r="L21" s="44" t="str">
        <f t="shared" si="12"/>
        <v>Carico</v>
      </c>
      <c r="M21" s="35">
        <f t="shared" si="13"/>
        <v>1.34350064350064</v>
      </c>
      <c r="N21" s="35">
        <f t="shared" si="14"/>
        <v>7.101360544217691</v>
      </c>
      <c r="O21" s="35">
        <f t="shared" si="15"/>
        <v>16.12200772200772</v>
      </c>
      <c r="P21" s="35">
        <f t="shared" si="16"/>
        <v>29.46104982533554</v>
      </c>
      <c r="Q21" s="35">
        <f t="shared" si="17"/>
        <v>45.295164552307426</v>
      </c>
      <c r="R21" s="35">
        <f t="shared" si="18"/>
        <v>54.219847398418835</v>
      </c>
      <c r="S21" s="35">
        <f t="shared" si="19"/>
        <v>62.37681559110132</v>
      </c>
      <c r="T21" s="35">
        <f t="shared" si="20"/>
        <v>69.09431880860453</v>
      </c>
      <c r="U21" s="36">
        <f t="shared" si="21"/>
        <v>79.65039529325244</v>
      </c>
      <c r="V21" s="36"/>
      <c r="W21" s="36">
        <f t="shared" si="22"/>
        <v>79.5352380952381</v>
      </c>
      <c r="X21" s="36"/>
      <c r="Y21" s="47">
        <v>19</v>
      </c>
      <c r="Z21" s="46">
        <f>IF(AND(Y21&gt;M21,Y21&lt;=U21,Y21&lt;=W21),_XLL.SPLINE(M21:U21,C21:K21,Y21),0)</f>
        <v>7.622507326300021</v>
      </c>
      <c r="AA21" s="34">
        <f t="shared" si="1"/>
        <v>0</v>
      </c>
      <c r="AB21" s="35">
        <f t="shared" si="23"/>
        <v>6.035238095238096</v>
      </c>
    </row>
    <row r="22" spans="2:28" s="35" customFormat="1" ht="12.75">
      <c r="B22" s="44" t="str">
        <f t="shared" si="2"/>
        <v>Peso</v>
      </c>
      <c r="C22" s="35">
        <f t="shared" si="3"/>
        <v>0</v>
      </c>
      <c r="D22" s="35">
        <f t="shared" si="4"/>
        <v>3.78</v>
      </c>
      <c r="E22" s="35">
        <f t="shared" si="5"/>
        <v>6.91</v>
      </c>
      <c r="F22" s="35">
        <f t="shared" si="6"/>
        <v>10.03</v>
      </c>
      <c r="G22" s="35">
        <f t="shared" si="7"/>
        <v>13.16</v>
      </c>
      <c r="H22" s="35">
        <f t="shared" si="8"/>
        <v>15.17</v>
      </c>
      <c r="I22" s="35">
        <f t="shared" si="9"/>
        <v>17.18</v>
      </c>
      <c r="J22" s="35">
        <f t="shared" si="10"/>
        <v>19.2</v>
      </c>
      <c r="K22" s="32">
        <f t="shared" si="11"/>
        <v>23</v>
      </c>
      <c r="L22" s="44" t="str">
        <f t="shared" si="12"/>
        <v>Carico</v>
      </c>
      <c r="M22" s="35">
        <f t="shared" si="13"/>
        <v>1.34350064350064</v>
      </c>
      <c r="N22" s="35">
        <f t="shared" si="14"/>
        <v>7.101360544217691</v>
      </c>
      <c r="O22" s="35">
        <f t="shared" si="15"/>
        <v>16.12200772200772</v>
      </c>
      <c r="P22" s="35">
        <f t="shared" si="16"/>
        <v>29.46104982533554</v>
      </c>
      <c r="Q22" s="35">
        <f t="shared" si="17"/>
        <v>45.295164552307426</v>
      </c>
      <c r="R22" s="35">
        <f t="shared" si="18"/>
        <v>54.219847398418835</v>
      </c>
      <c r="S22" s="35">
        <f t="shared" si="19"/>
        <v>62.37681559110132</v>
      </c>
      <c r="T22" s="35">
        <f t="shared" si="20"/>
        <v>69.09431880860453</v>
      </c>
      <c r="U22" s="36">
        <f t="shared" si="21"/>
        <v>79.65039529325244</v>
      </c>
      <c r="V22" s="36"/>
      <c r="W22" s="36">
        <f t="shared" si="22"/>
        <v>79.5352380952381</v>
      </c>
      <c r="X22" s="36"/>
      <c r="Y22" s="47">
        <v>20</v>
      </c>
      <c r="Z22" s="46">
        <f>IF(AND(Y22&gt;M22,Y22&lt;=U22,Y22&lt;=W22),_XLL.SPLINE(M22:U22,C22:K22,Y22),0)</f>
        <v>7.866668992156647</v>
      </c>
      <c r="AA22" s="34">
        <f t="shared" si="1"/>
        <v>0</v>
      </c>
      <c r="AB22" s="35">
        <f t="shared" si="23"/>
        <v>6.035238095238096</v>
      </c>
    </row>
    <row r="23" spans="2:28" s="35" customFormat="1" ht="12.75">
      <c r="B23" s="44" t="str">
        <f t="shared" si="2"/>
        <v>Peso</v>
      </c>
      <c r="C23" s="35">
        <f t="shared" si="3"/>
        <v>0</v>
      </c>
      <c r="D23" s="35">
        <f t="shared" si="4"/>
        <v>3.78</v>
      </c>
      <c r="E23" s="35">
        <f t="shared" si="5"/>
        <v>6.91</v>
      </c>
      <c r="F23" s="35">
        <f t="shared" si="6"/>
        <v>10.03</v>
      </c>
      <c r="G23" s="35">
        <f t="shared" si="7"/>
        <v>13.16</v>
      </c>
      <c r="H23" s="35">
        <f t="shared" si="8"/>
        <v>15.17</v>
      </c>
      <c r="I23" s="35">
        <f t="shared" si="9"/>
        <v>17.18</v>
      </c>
      <c r="J23" s="35">
        <f t="shared" si="10"/>
        <v>19.2</v>
      </c>
      <c r="K23" s="32">
        <f t="shared" si="11"/>
        <v>23</v>
      </c>
      <c r="L23" s="44" t="str">
        <f t="shared" si="12"/>
        <v>Carico</v>
      </c>
      <c r="M23" s="35">
        <f t="shared" si="13"/>
        <v>1.34350064350064</v>
      </c>
      <c r="N23" s="35">
        <f t="shared" si="14"/>
        <v>7.101360544217691</v>
      </c>
      <c r="O23" s="35">
        <f t="shared" si="15"/>
        <v>16.12200772200772</v>
      </c>
      <c r="P23" s="35">
        <f t="shared" si="16"/>
        <v>29.46104982533554</v>
      </c>
      <c r="Q23" s="35">
        <f t="shared" si="17"/>
        <v>45.295164552307426</v>
      </c>
      <c r="R23" s="35">
        <f t="shared" si="18"/>
        <v>54.219847398418835</v>
      </c>
      <c r="S23" s="35">
        <f t="shared" si="19"/>
        <v>62.37681559110132</v>
      </c>
      <c r="T23" s="35">
        <f t="shared" si="20"/>
        <v>69.09431880860453</v>
      </c>
      <c r="U23" s="36">
        <f t="shared" si="21"/>
        <v>79.65039529325244</v>
      </c>
      <c r="V23" s="36"/>
      <c r="W23" s="36">
        <f t="shared" si="22"/>
        <v>79.5352380952381</v>
      </c>
      <c r="X23" s="36"/>
      <c r="Y23" s="47">
        <v>21</v>
      </c>
      <c r="Z23" s="46">
        <f>IF(AND(Y23&gt;M23,Y23&lt;=U23,Y23&lt;=W23),_XLL.SPLINE(M23:U23,C23:K23,Y23),0)</f>
        <v>8.108631325736178</v>
      </c>
      <c r="AA23" s="34">
        <f t="shared" si="1"/>
        <v>0</v>
      </c>
      <c r="AB23" s="35">
        <f t="shared" si="23"/>
        <v>6.035238095238096</v>
      </c>
    </row>
    <row r="24" spans="2:28" s="35" customFormat="1" ht="12.75">
      <c r="B24" s="44" t="str">
        <f t="shared" si="2"/>
        <v>Peso</v>
      </c>
      <c r="C24" s="35">
        <f t="shared" si="3"/>
        <v>0</v>
      </c>
      <c r="D24" s="35">
        <f t="shared" si="4"/>
        <v>3.78</v>
      </c>
      <c r="E24" s="35">
        <f t="shared" si="5"/>
        <v>6.91</v>
      </c>
      <c r="F24" s="35">
        <f t="shared" si="6"/>
        <v>10.03</v>
      </c>
      <c r="G24" s="35">
        <f t="shared" si="7"/>
        <v>13.16</v>
      </c>
      <c r="H24" s="35">
        <f t="shared" si="8"/>
        <v>15.17</v>
      </c>
      <c r="I24" s="35">
        <f t="shared" si="9"/>
        <v>17.18</v>
      </c>
      <c r="J24" s="35">
        <f t="shared" si="10"/>
        <v>19.2</v>
      </c>
      <c r="K24" s="32">
        <f t="shared" si="11"/>
        <v>23</v>
      </c>
      <c r="L24" s="44" t="str">
        <f t="shared" si="12"/>
        <v>Carico</v>
      </c>
      <c r="M24" s="35">
        <f t="shared" si="13"/>
        <v>1.34350064350064</v>
      </c>
      <c r="N24" s="35">
        <f t="shared" si="14"/>
        <v>7.101360544217691</v>
      </c>
      <c r="O24" s="35">
        <f t="shared" si="15"/>
        <v>16.12200772200772</v>
      </c>
      <c r="P24" s="35">
        <f t="shared" si="16"/>
        <v>29.46104982533554</v>
      </c>
      <c r="Q24" s="35">
        <f t="shared" si="17"/>
        <v>45.295164552307426</v>
      </c>
      <c r="R24" s="35">
        <f t="shared" si="18"/>
        <v>54.219847398418835</v>
      </c>
      <c r="S24" s="35">
        <f t="shared" si="19"/>
        <v>62.37681559110132</v>
      </c>
      <c r="T24" s="35">
        <f t="shared" si="20"/>
        <v>69.09431880860453</v>
      </c>
      <c r="U24" s="36">
        <f t="shared" si="21"/>
        <v>79.65039529325244</v>
      </c>
      <c r="V24" s="36"/>
      <c r="W24" s="36">
        <f t="shared" si="22"/>
        <v>79.5352380952381</v>
      </c>
      <c r="X24" s="36"/>
      <c r="Y24" s="47">
        <v>22</v>
      </c>
      <c r="Z24" s="46">
        <f>IF(AND(Y24&gt;M24,Y24&lt;=U24,Y24&lt;=W24),_XLL.SPLINE(M24:U24,C24:K24,Y24),0)</f>
        <v>8.348123077152724</v>
      </c>
      <c r="AA24" s="34">
        <f t="shared" si="1"/>
        <v>0</v>
      </c>
      <c r="AB24" s="35">
        <f t="shared" si="23"/>
        <v>6.035238095238096</v>
      </c>
    </row>
    <row r="25" spans="2:28" s="35" customFormat="1" ht="12.75">
      <c r="B25" s="44" t="str">
        <f t="shared" si="2"/>
        <v>Peso</v>
      </c>
      <c r="C25" s="35">
        <f t="shared" si="3"/>
        <v>0</v>
      </c>
      <c r="D25" s="35">
        <f t="shared" si="4"/>
        <v>3.78</v>
      </c>
      <c r="E25" s="35">
        <f t="shared" si="5"/>
        <v>6.91</v>
      </c>
      <c r="F25" s="35">
        <f t="shared" si="6"/>
        <v>10.03</v>
      </c>
      <c r="G25" s="35">
        <f t="shared" si="7"/>
        <v>13.16</v>
      </c>
      <c r="H25" s="35">
        <f t="shared" si="8"/>
        <v>15.17</v>
      </c>
      <c r="I25" s="35">
        <f t="shared" si="9"/>
        <v>17.18</v>
      </c>
      <c r="J25" s="35">
        <f t="shared" si="10"/>
        <v>19.2</v>
      </c>
      <c r="K25" s="32">
        <f t="shared" si="11"/>
        <v>23</v>
      </c>
      <c r="L25" s="44" t="str">
        <f t="shared" si="12"/>
        <v>Carico</v>
      </c>
      <c r="M25" s="35">
        <f t="shared" si="13"/>
        <v>1.34350064350064</v>
      </c>
      <c r="N25" s="35">
        <f t="shared" si="14"/>
        <v>7.101360544217691</v>
      </c>
      <c r="O25" s="35">
        <f t="shared" si="15"/>
        <v>16.12200772200772</v>
      </c>
      <c r="P25" s="35">
        <f t="shared" si="16"/>
        <v>29.46104982533554</v>
      </c>
      <c r="Q25" s="35">
        <f t="shared" si="17"/>
        <v>45.295164552307426</v>
      </c>
      <c r="R25" s="35">
        <f t="shared" si="18"/>
        <v>54.219847398418835</v>
      </c>
      <c r="S25" s="35">
        <f t="shared" si="19"/>
        <v>62.37681559110132</v>
      </c>
      <c r="T25" s="35">
        <f t="shared" si="20"/>
        <v>69.09431880860453</v>
      </c>
      <c r="U25" s="36">
        <f t="shared" si="21"/>
        <v>79.65039529325244</v>
      </c>
      <c r="V25" s="36"/>
      <c r="W25" s="36">
        <f t="shared" si="22"/>
        <v>79.5352380952381</v>
      </c>
      <c r="X25" s="36"/>
      <c r="Y25" s="47">
        <v>23</v>
      </c>
      <c r="Z25" s="46">
        <f>IF(AND(Y25&gt;M25,Y25&lt;=U25,Y25&lt;=W25),_XLL.SPLINE(M25:U25,C25:K25,Y25),0)</f>
        <v>8.584872996520398</v>
      </c>
      <c r="AA25" s="34">
        <f t="shared" si="1"/>
        <v>0</v>
      </c>
      <c r="AB25" s="35">
        <f t="shared" si="23"/>
        <v>6.035238095238096</v>
      </c>
    </row>
    <row r="26" spans="2:28" s="35" customFormat="1" ht="12.75">
      <c r="B26" s="44" t="str">
        <f t="shared" si="2"/>
        <v>Peso</v>
      </c>
      <c r="C26" s="35">
        <f t="shared" si="3"/>
        <v>0</v>
      </c>
      <c r="D26" s="35">
        <f t="shared" si="4"/>
        <v>3.78</v>
      </c>
      <c r="E26" s="35">
        <f t="shared" si="5"/>
        <v>6.91</v>
      </c>
      <c r="F26" s="35">
        <f t="shared" si="6"/>
        <v>10.03</v>
      </c>
      <c r="G26" s="35">
        <f t="shared" si="7"/>
        <v>13.16</v>
      </c>
      <c r="H26" s="35">
        <f t="shared" si="8"/>
        <v>15.17</v>
      </c>
      <c r="I26" s="35">
        <f t="shared" si="9"/>
        <v>17.18</v>
      </c>
      <c r="J26" s="35">
        <f t="shared" si="10"/>
        <v>19.2</v>
      </c>
      <c r="K26" s="32">
        <f t="shared" si="11"/>
        <v>23</v>
      </c>
      <c r="L26" s="44" t="str">
        <f t="shared" si="12"/>
        <v>Carico</v>
      </c>
      <c r="M26" s="35">
        <f t="shared" si="13"/>
        <v>1.34350064350064</v>
      </c>
      <c r="N26" s="35">
        <f t="shared" si="14"/>
        <v>7.101360544217691</v>
      </c>
      <c r="O26" s="35">
        <f t="shared" si="15"/>
        <v>16.12200772200772</v>
      </c>
      <c r="P26" s="35">
        <f t="shared" si="16"/>
        <v>29.46104982533554</v>
      </c>
      <c r="Q26" s="35">
        <f t="shared" si="17"/>
        <v>45.295164552307426</v>
      </c>
      <c r="R26" s="35">
        <f t="shared" si="18"/>
        <v>54.219847398418835</v>
      </c>
      <c r="S26" s="35">
        <f t="shared" si="19"/>
        <v>62.37681559110132</v>
      </c>
      <c r="T26" s="35">
        <f t="shared" si="20"/>
        <v>69.09431880860453</v>
      </c>
      <c r="U26" s="36">
        <f t="shared" si="21"/>
        <v>79.65039529325244</v>
      </c>
      <c r="V26" s="36"/>
      <c r="W26" s="36">
        <f t="shared" si="22"/>
        <v>79.5352380952381</v>
      </c>
      <c r="X26" s="36"/>
      <c r="Y26" s="47">
        <v>24</v>
      </c>
      <c r="Z26" s="46">
        <f>IF(AND(Y26&gt;M26,Y26&lt;=U26,Y26&lt;=W26),_XLL.SPLINE(M26:U26,C26:K26,Y26),0)</f>
        <v>8.81860983395331</v>
      </c>
      <c r="AA26" s="34">
        <f t="shared" si="1"/>
        <v>0</v>
      </c>
      <c r="AB26" s="35">
        <f t="shared" si="23"/>
        <v>6.035238095238096</v>
      </c>
    </row>
    <row r="27" spans="2:28" s="35" customFormat="1" ht="12.75">
      <c r="B27" s="44" t="str">
        <f t="shared" si="2"/>
        <v>Peso</v>
      </c>
      <c r="C27" s="35">
        <f t="shared" si="3"/>
        <v>0</v>
      </c>
      <c r="D27" s="35">
        <f t="shared" si="4"/>
        <v>3.78</v>
      </c>
      <c r="E27" s="35">
        <f t="shared" si="5"/>
        <v>6.91</v>
      </c>
      <c r="F27" s="35">
        <f t="shared" si="6"/>
        <v>10.03</v>
      </c>
      <c r="G27" s="35">
        <f t="shared" si="7"/>
        <v>13.16</v>
      </c>
      <c r="H27" s="35">
        <f t="shared" si="8"/>
        <v>15.17</v>
      </c>
      <c r="I27" s="35">
        <f t="shared" si="9"/>
        <v>17.18</v>
      </c>
      <c r="J27" s="35">
        <f t="shared" si="10"/>
        <v>19.2</v>
      </c>
      <c r="K27" s="32">
        <f t="shared" si="11"/>
        <v>23</v>
      </c>
      <c r="L27" s="44" t="str">
        <f t="shared" si="12"/>
        <v>Carico</v>
      </c>
      <c r="M27" s="35">
        <f t="shared" si="13"/>
        <v>1.34350064350064</v>
      </c>
      <c r="N27" s="35">
        <f t="shared" si="14"/>
        <v>7.101360544217691</v>
      </c>
      <c r="O27" s="35">
        <f t="shared" si="15"/>
        <v>16.12200772200772</v>
      </c>
      <c r="P27" s="35">
        <f t="shared" si="16"/>
        <v>29.46104982533554</v>
      </c>
      <c r="Q27" s="35">
        <f t="shared" si="17"/>
        <v>45.295164552307426</v>
      </c>
      <c r="R27" s="35">
        <f t="shared" si="18"/>
        <v>54.219847398418835</v>
      </c>
      <c r="S27" s="35">
        <f t="shared" si="19"/>
        <v>62.37681559110132</v>
      </c>
      <c r="T27" s="35">
        <f t="shared" si="20"/>
        <v>69.09431880860453</v>
      </c>
      <c r="U27" s="36">
        <f t="shared" si="21"/>
        <v>79.65039529325244</v>
      </c>
      <c r="V27" s="36"/>
      <c r="W27" s="36">
        <f t="shared" si="22"/>
        <v>79.5352380952381</v>
      </c>
      <c r="X27" s="36"/>
      <c r="Y27" s="47">
        <v>25</v>
      </c>
      <c r="Z27" s="46">
        <f>IF(AND(Y27&gt;M27,Y27&lt;=U27,Y27&lt;=W27),_XLL.SPLINE(M27:U27,C27:K27,Y27),0)</f>
        <v>9.049062339565571</v>
      </c>
      <c r="AA27" s="34">
        <f t="shared" si="1"/>
        <v>0</v>
      </c>
      <c r="AB27" s="35">
        <f t="shared" si="23"/>
        <v>6.035238095238096</v>
      </c>
    </row>
    <row r="28" spans="2:28" s="35" customFormat="1" ht="12.75">
      <c r="B28" s="44" t="str">
        <f t="shared" si="2"/>
        <v>Peso</v>
      </c>
      <c r="C28" s="35">
        <f t="shared" si="3"/>
        <v>0</v>
      </c>
      <c r="D28" s="35">
        <f t="shared" si="4"/>
        <v>3.78</v>
      </c>
      <c r="E28" s="35">
        <f t="shared" si="5"/>
        <v>6.91</v>
      </c>
      <c r="F28" s="35">
        <f t="shared" si="6"/>
        <v>10.03</v>
      </c>
      <c r="G28" s="35">
        <f t="shared" si="7"/>
        <v>13.16</v>
      </c>
      <c r="H28" s="35">
        <f t="shared" si="8"/>
        <v>15.17</v>
      </c>
      <c r="I28" s="35">
        <f t="shared" si="9"/>
        <v>17.18</v>
      </c>
      <c r="J28" s="35">
        <f t="shared" si="10"/>
        <v>19.2</v>
      </c>
      <c r="K28" s="32">
        <f t="shared" si="11"/>
        <v>23</v>
      </c>
      <c r="L28" s="44" t="str">
        <f t="shared" si="12"/>
        <v>Carico</v>
      </c>
      <c r="M28" s="35">
        <f t="shared" si="13"/>
        <v>1.34350064350064</v>
      </c>
      <c r="N28" s="35">
        <f t="shared" si="14"/>
        <v>7.101360544217691</v>
      </c>
      <c r="O28" s="35">
        <f t="shared" si="15"/>
        <v>16.12200772200772</v>
      </c>
      <c r="P28" s="35">
        <f t="shared" si="16"/>
        <v>29.46104982533554</v>
      </c>
      <c r="Q28" s="35">
        <f t="shared" si="17"/>
        <v>45.295164552307426</v>
      </c>
      <c r="R28" s="35">
        <f t="shared" si="18"/>
        <v>54.219847398418835</v>
      </c>
      <c r="S28" s="35">
        <f t="shared" si="19"/>
        <v>62.37681559110132</v>
      </c>
      <c r="T28" s="35">
        <f t="shared" si="20"/>
        <v>69.09431880860453</v>
      </c>
      <c r="U28" s="36">
        <f t="shared" si="21"/>
        <v>79.65039529325244</v>
      </c>
      <c r="V28" s="36"/>
      <c r="W28" s="36">
        <f t="shared" si="22"/>
        <v>79.5352380952381</v>
      </c>
      <c r="X28" s="36"/>
      <c r="Y28" s="47">
        <v>26</v>
      </c>
      <c r="Z28" s="46">
        <f>IF(AND(Y28&gt;M28,Y28&lt;=U28,Y28&lt;=W28),_XLL.SPLINE(M28:U28,C28:K28,Y28),0)</f>
        <v>9.27595926347129</v>
      </c>
      <c r="AA28" s="34">
        <f t="shared" si="1"/>
        <v>0</v>
      </c>
      <c r="AB28" s="35">
        <f t="shared" si="23"/>
        <v>6.035238095238096</v>
      </c>
    </row>
    <row r="29" spans="2:28" s="35" customFormat="1" ht="12.75">
      <c r="B29" s="44" t="str">
        <f t="shared" si="2"/>
        <v>Peso</v>
      </c>
      <c r="C29" s="35">
        <f t="shared" si="3"/>
        <v>0</v>
      </c>
      <c r="D29" s="35">
        <f t="shared" si="4"/>
        <v>3.78</v>
      </c>
      <c r="E29" s="35">
        <f t="shared" si="5"/>
        <v>6.91</v>
      </c>
      <c r="F29" s="35">
        <f t="shared" si="6"/>
        <v>10.03</v>
      </c>
      <c r="G29" s="35">
        <f t="shared" si="7"/>
        <v>13.16</v>
      </c>
      <c r="H29" s="35">
        <f t="shared" si="8"/>
        <v>15.17</v>
      </c>
      <c r="I29" s="35">
        <f t="shared" si="9"/>
        <v>17.18</v>
      </c>
      <c r="J29" s="35">
        <f t="shared" si="10"/>
        <v>19.2</v>
      </c>
      <c r="K29" s="32">
        <f t="shared" si="11"/>
        <v>23</v>
      </c>
      <c r="L29" s="44" t="str">
        <f t="shared" si="12"/>
        <v>Carico</v>
      </c>
      <c r="M29" s="35">
        <f t="shared" si="13"/>
        <v>1.34350064350064</v>
      </c>
      <c r="N29" s="35">
        <f t="shared" si="14"/>
        <v>7.101360544217691</v>
      </c>
      <c r="O29" s="35">
        <f t="shared" si="15"/>
        <v>16.12200772200772</v>
      </c>
      <c r="P29" s="35">
        <f t="shared" si="16"/>
        <v>29.46104982533554</v>
      </c>
      <c r="Q29" s="35">
        <f t="shared" si="17"/>
        <v>45.295164552307426</v>
      </c>
      <c r="R29" s="35">
        <f t="shared" si="18"/>
        <v>54.219847398418835</v>
      </c>
      <c r="S29" s="35">
        <f t="shared" si="19"/>
        <v>62.37681559110132</v>
      </c>
      <c r="T29" s="35">
        <f t="shared" si="20"/>
        <v>69.09431880860453</v>
      </c>
      <c r="U29" s="36">
        <f t="shared" si="21"/>
        <v>79.65039529325244</v>
      </c>
      <c r="V29" s="36"/>
      <c r="W29" s="36">
        <f t="shared" si="22"/>
        <v>79.5352380952381</v>
      </c>
      <c r="X29" s="36"/>
      <c r="Y29" s="47">
        <v>27</v>
      </c>
      <c r="Z29" s="46">
        <f>IF(AND(Y29&gt;M29,Y29&lt;=U29,Y29&lt;=W29),_XLL.SPLINE(M29:U29,C29:K29,Y29),0)</f>
        <v>9.499029355784579</v>
      </c>
      <c r="AA29" s="34">
        <f t="shared" si="1"/>
        <v>0</v>
      </c>
      <c r="AB29" s="35">
        <f t="shared" si="23"/>
        <v>6.035238095238096</v>
      </c>
    </row>
    <row r="30" spans="2:28" s="35" customFormat="1" ht="12.75">
      <c r="B30" s="44" t="str">
        <f t="shared" si="2"/>
        <v>Peso</v>
      </c>
      <c r="C30" s="35">
        <f t="shared" si="3"/>
        <v>0</v>
      </c>
      <c r="D30" s="35">
        <f t="shared" si="4"/>
        <v>3.78</v>
      </c>
      <c r="E30" s="35">
        <f t="shared" si="5"/>
        <v>6.91</v>
      </c>
      <c r="F30" s="35">
        <f t="shared" si="6"/>
        <v>10.03</v>
      </c>
      <c r="G30" s="35">
        <f t="shared" si="7"/>
        <v>13.16</v>
      </c>
      <c r="H30" s="35">
        <f t="shared" si="8"/>
        <v>15.17</v>
      </c>
      <c r="I30" s="35">
        <f t="shared" si="9"/>
        <v>17.18</v>
      </c>
      <c r="J30" s="35">
        <f t="shared" si="10"/>
        <v>19.2</v>
      </c>
      <c r="K30" s="32">
        <f t="shared" si="11"/>
        <v>23</v>
      </c>
      <c r="L30" s="44" t="str">
        <f t="shared" si="12"/>
        <v>Carico</v>
      </c>
      <c r="M30" s="35">
        <f t="shared" si="13"/>
        <v>1.34350064350064</v>
      </c>
      <c r="N30" s="35">
        <f t="shared" si="14"/>
        <v>7.101360544217691</v>
      </c>
      <c r="O30" s="35">
        <f t="shared" si="15"/>
        <v>16.12200772200772</v>
      </c>
      <c r="P30" s="35">
        <f t="shared" si="16"/>
        <v>29.46104982533554</v>
      </c>
      <c r="Q30" s="35">
        <f t="shared" si="17"/>
        <v>45.295164552307426</v>
      </c>
      <c r="R30" s="35">
        <f t="shared" si="18"/>
        <v>54.219847398418835</v>
      </c>
      <c r="S30" s="35">
        <f t="shared" si="19"/>
        <v>62.37681559110132</v>
      </c>
      <c r="T30" s="35">
        <f t="shared" si="20"/>
        <v>69.09431880860453</v>
      </c>
      <c r="U30" s="36">
        <f t="shared" si="21"/>
        <v>79.65039529325244</v>
      </c>
      <c r="V30" s="36"/>
      <c r="W30" s="36">
        <f t="shared" si="22"/>
        <v>79.5352380952381</v>
      </c>
      <c r="X30" s="36"/>
      <c r="Y30" s="47">
        <v>28</v>
      </c>
      <c r="Z30" s="46">
        <f>IF(AND(Y30&gt;M30,Y30&lt;=U30,Y30&lt;=W30),_XLL.SPLINE(M30:U30,C30:K30,Y30),0)</f>
        <v>9.718001366619546</v>
      </c>
      <c r="AA30" s="34">
        <f t="shared" si="1"/>
        <v>0</v>
      </c>
      <c r="AB30" s="35">
        <f t="shared" si="23"/>
        <v>6.035238095238096</v>
      </c>
    </row>
    <row r="31" spans="2:28" s="35" customFormat="1" ht="12.75">
      <c r="B31" s="44" t="str">
        <f t="shared" si="2"/>
        <v>Peso</v>
      </c>
      <c r="C31" s="35">
        <f t="shared" si="3"/>
        <v>0</v>
      </c>
      <c r="D31" s="35">
        <f t="shared" si="4"/>
        <v>3.78</v>
      </c>
      <c r="E31" s="35">
        <f t="shared" si="5"/>
        <v>6.91</v>
      </c>
      <c r="F31" s="35">
        <f t="shared" si="6"/>
        <v>10.03</v>
      </c>
      <c r="G31" s="35">
        <f t="shared" si="7"/>
        <v>13.16</v>
      </c>
      <c r="H31" s="35">
        <f t="shared" si="8"/>
        <v>15.17</v>
      </c>
      <c r="I31" s="35">
        <f t="shared" si="9"/>
        <v>17.18</v>
      </c>
      <c r="J31" s="35">
        <f t="shared" si="10"/>
        <v>19.2</v>
      </c>
      <c r="K31" s="32">
        <f t="shared" si="11"/>
        <v>23</v>
      </c>
      <c r="L31" s="44" t="str">
        <f t="shared" si="12"/>
        <v>Carico</v>
      </c>
      <c r="M31" s="35">
        <f t="shared" si="13"/>
        <v>1.34350064350064</v>
      </c>
      <c r="N31" s="35">
        <f t="shared" si="14"/>
        <v>7.101360544217691</v>
      </c>
      <c r="O31" s="35">
        <f t="shared" si="15"/>
        <v>16.12200772200772</v>
      </c>
      <c r="P31" s="35">
        <f t="shared" si="16"/>
        <v>29.46104982533554</v>
      </c>
      <c r="Q31" s="35">
        <f t="shared" si="17"/>
        <v>45.295164552307426</v>
      </c>
      <c r="R31" s="35">
        <f t="shared" si="18"/>
        <v>54.219847398418835</v>
      </c>
      <c r="S31" s="35">
        <f t="shared" si="19"/>
        <v>62.37681559110132</v>
      </c>
      <c r="T31" s="35">
        <f t="shared" si="20"/>
        <v>69.09431880860453</v>
      </c>
      <c r="U31" s="36">
        <f t="shared" si="21"/>
        <v>79.65039529325244</v>
      </c>
      <c r="V31" s="36"/>
      <c r="W31" s="36">
        <f t="shared" si="22"/>
        <v>79.5352380952381</v>
      </c>
      <c r="X31" s="36"/>
      <c r="Y31" s="47">
        <v>29</v>
      </c>
      <c r="Z31" s="46">
        <f>IF(AND(Y31&gt;M31,Y31&lt;=U31,Y31&lt;=W31),_XLL.SPLINE(M31:U31,C31:K31,Y31),0)</f>
        <v>9.93260404609031</v>
      </c>
      <c r="AA31" s="34">
        <f t="shared" si="1"/>
        <v>0</v>
      </c>
      <c r="AB31" s="35">
        <f t="shared" si="23"/>
        <v>6.035238095238096</v>
      </c>
    </row>
    <row r="32" spans="2:28" s="35" customFormat="1" ht="12.75">
      <c r="B32" s="44" t="str">
        <f t="shared" si="2"/>
        <v>Peso</v>
      </c>
      <c r="C32" s="35">
        <f t="shared" si="3"/>
        <v>0</v>
      </c>
      <c r="D32" s="35">
        <f t="shared" si="4"/>
        <v>3.78</v>
      </c>
      <c r="E32" s="35">
        <f t="shared" si="5"/>
        <v>6.91</v>
      </c>
      <c r="F32" s="35">
        <f t="shared" si="6"/>
        <v>10.03</v>
      </c>
      <c r="G32" s="35">
        <f t="shared" si="7"/>
        <v>13.16</v>
      </c>
      <c r="H32" s="35">
        <f t="shared" si="8"/>
        <v>15.17</v>
      </c>
      <c r="I32" s="35">
        <f t="shared" si="9"/>
        <v>17.18</v>
      </c>
      <c r="J32" s="35">
        <f t="shared" si="10"/>
        <v>19.2</v>
      </c>
      <c r="K32" s="32">
        <f t="shared" si="11"/>
        <v>23</v>
      </c>
      <c r="L32" s="44" t="str">
        <f t="shared" si="12"/>
        <v>Carico</v>
      </c>
      <c r="M32" s="35">
        <f t="shared" si="13"/>
        <v>1.34350064350064</v>
      </c>
      <c r="N32" s="35">
        <f t="shared" si="14"/>
        <v>7.101360544217691</v>
      </c>
      <c r="O32" s="35">
        <f t="shared" si="15"/>
        <v>16.12200772200772</v>
      </c>
      <c r="P32" s="35">
        <f t="shared" si="16"/>
        <v>29.46104982533554</v>
      </c>
      <c r="Q32" s="35">
        <f t="shared" si="17"/>
        <v>45.295164552307426</v>
      </c>
      <c r="R32" s="35">
        <f t="shared" si="18"/>
        <v>54.219847398418835</v>
      </c>
      <c r="S32" s="35">
        <f t="shared" si="19"/>
        <v>62.37681559110132</v>
      </c>
      <c r="T32" s="35">
        <f t="shared" si="20"/>
        <v>69.09431880860453</v>
      </c>
      <c r="U32" s="36">
        <f t="shared" si="21"/>
        <v>79.65039529325244</v>
      </c>
      <c r="V32" s="36"/>
      <c r="W32" s="36">
        <f t="shared" si="22"/>
        <v>79.5352380952381</v>
      </c>
      <c r="X32" s="36"/>
      <c r="Y32" s="47">
        <v>30</v>
      </c>
      <c r="Z32" s="46">
        <f>IF(AND(Y32&gt;M32,Y32&lt;=U32,Y32&lt;=W32),_XLL.SPLINE(M32:U32,C32:K32,Y32),0)</f>
        <v>10.142588984414823</v>
      </c>
      <c r="AA32" s="34">
        <f t="shared" si="1"/>
        <v>0</v>
      </c>
      <c r="AB32" s="35">
        <f t="shared" si="23"/>
        <v>6.035238095238096</v>
      </c>
    </row>
    <row r="33" spans="2:28" s="35" customFormat="1" ht="12.75">
      <c r="B33" s="44" t="str">
        <f t="shared" si="2"/>
        <v>Peso</v>
      </c>
      <c r="C33" s="35">
        <f t="shared" si="3"/>
        <v>0</v>
      </c>
      <c r="D33" s="35">
        <f t="shared" si="4"/>
        <v>3.78</v>
      </c>
      <c r="E33" s="35">
        <f t="shared" si="5"/>
        <v>6.91</v>
      </c>
      <c r="F33" s="35">
        <f t="shared" si="6"/>
        <v>10.03</v>
      </c>
      <c r="G33" s="35">
        <f t="shared" si="7"/>
        <v>13.16</v>
      </c>
      <c r="H33" s="35">
        <f t="shared" si="8"/>
        <v>15.17</v>
      </c>
      <c r="I33" s="35">
        <f t="shared" si="9"/>
        <v>17.18</v>
      </c>
      <c r="J33" s="35">
        <f t="shared" si="10"/>
        <v>19.2</v>
      </c>
      <c r="K33" s="32">
        <f t="shared" si="11"/>
        <v>23</v>
      </c>
      <c r="L33" s="44" t="str">
        <f t="shared" si="12"/>
        <v>Carico</v>
      </c>
      <c r="M33" s="35">
        <f t="shared" si="13"/>
        <v>1.34350064350064</v>
      </c>
      <c r="N33" s="35">
        <f t="shared" si="14"/>
        <v>7.101360544217691</v>
      </c>
      <c r="O33" s="35">
        <f t="shared" si="15"/>
        <v>16.12200772200772</v>
      </c>
      <c r="P33" s="35">
        <f t="shared" si="16"/>
        <v>29.46104982533554</v>
      </c>
      <c r="Q33" s="35">
        <f t="shared" si="17"/>
        <v>45.295164552307426</v>
      </c>
      <c r="R33" s="35">
        <f t="shared" si="18"/>
        <v>54.219847398418835</v>
      </c>
      <c r="S33" s="35">
        <f t="shared" si="19"/>
        <v>62.37681559110132</v>
      </c>
      <c r="T33" s="35">
        <f t="shared" si="20"/>
        <v>69.09431880860453</v>
      </c>
      <c r="U33" s="36">
        <f t="shared" si="21"/>
        <v>79.65039529325244</v>
      </c>
      <c r="V33" s="36"/>
      <c r="W33" s="36">
        <f t="shared" si="22"/>
        <v>79.5352380952381</v>
      </c>
      <c r="X33" s="36"/>
      <c r="Y33" s="47">
        <v>31</v>
      </c>
      <c r="Z33" s="46">
        <f>IF(AND(Y33&gt;M33,Y33&lt;=U33,Y33&lt;=W33),_XLL.SPLINE(M33:U33,C33:K33,Y33),0)</f>
        <v>10.348148183928101</v>
      </c>
      <c r="AA33" s="34">
        <f t="shared" si="1"/>
        <v>0</v>
      </c>
      <c r="AB33" s="35">
        <f t="shared" si="23"/>
        <v>6.035238095238096</v>
      </c>
    </row>
    <row r="34" spans="2:28" s="35" customFormat="1" ht="12.75">
      <c r="B34" s="44" t="str">
        <f t="shared" si="2"/>
        <v>Peso</v>
      </c>
      <c r="C34" s="35">
        <f t="shared" si="3"/>
        <v>0</v>
      </c>
      <c r="D34" s="35">
        <f t="shared" si="4"/>
        <v>3.78</v>
      </c>
      <c r="E34" s="35">
        <f t="shared" si="5"/>
        <v>6.91</v>
      </c>
      <c r="F34" s="35">
        <f t="shared" si="6"/>
        <v>10.03</v>
      </c>
      <c r="G34" s="35">
        <f t="shared" si="7"/>
        <v>13.16</v>
      </c>
      <c r="H34" s="35">
        <f t="shared" si="8"/>
        <v>15.17</v>
      </c>
      <c r="I34" s="35">
        <f t="shared" si="9"/>
        <v>17.18</v>
      </c>
      <c r="J34" s="35">
        <f t="shared" si="10"/>
        <v>19.2</v>
      </c>
      <c r="K34" s="32">
        <f t="shared" si="11"/>
        <v>23</v>
      </c>
      <c r="L34" s="44" t="str">
        <f t="shared" si="12"/>
        <v>Carico</v>
      </c>
      <c r="M34" s="35">
        <f t="shared" si="13"/>
        <v>1.34350064350064</v>
      </c>
      <c r="N34" s="35">
        <f t="shared" si="14"/>
        <v>7.101360544217691</v>
      </c>
      <c r="O34" s="35">
        <f t="shared" si="15"/>
        <v>16.12200772200772</v>
      </c>
      <c r="P34" s="35">
        <f t="shared" si="16"/>
        <v>29.46104982533554</v>
      </c>
      <c r="Q34" s="35">
        <f t="shared" si="17"/>
        <v>45.295164552307426</v>
      </c>
      <c r="R34" s="35">
        <f t="shared" si="18"/>
        <v>54.219847398418835</v>
      </c>
      <c r="S34" s="35">
        <f t="shared" si="19"/>
        <v>62.37681559110132</v>
      </c>
      <c r="T34" s="35">
        <f t="shared" si="20"/>
        <v>69.09431880860453</v>
      </c>
      <c r="U34" s="36">
        <f t="shared" si="21"/>
        <v>79.65039529325244</v>
      </c>
      <c r="V34" s="36"/>
      <c r="W34" s="36">
        <f t="shared" si="22"/>
        <v>79.5352380952381</v>
      </c>
      <c r="X34" s="36"/>
      <c r="Y34" s="47">
        <v>32</v>
      </c>
      <c r="Z34" s="46">
        <f>IF(AND(Y34&gt;M34,Y34&lt;=U34,Y34&lt;=W34),_XLL.SPLINE(M34:U34,C34:K34,Y34),0)</f>
        <v>10.549871489883447</v>
      </c>
      <c r="AA34" s="34">
        <f t="shared" si="1"/>
        <v>0</v>
      </c>
      <c r="AB34" s="35">
        <f t="shared" si="23"/>
        <v>6.035238095238096</v>
      </c>
    </row>
    <row r="35" spans="2:28" s="35" customFormat="1" ht="12.75">
      <c r="B35" s="44" t="str">
        <f t="shared" si="2"/>
        <v>Peso</v>
      </c>
      <c r="C35" s="35">
        <f t="shared" si="3"/>
        <v>0</v>
      </c>
      <c r="D35" s="35">
        <f t="shared" si="4"/>
        <v>3.78</v>
      </c>
      <c r="E35" s="35">
        <f t="shared" si="5"/>
        <v>6.91</v>
      </c>
      <c r="F35" s="35">
        <f t="shared" si="6"/>
        <v>10.03</v>
      </c>
      <c r="G35" s="35">
        <f t="shared" si="7"/>
        <v>13.16</v>
      </c>
      <c r="H35" s="35">
        <f t="shared" si="8"/>
        <v>15.17</v>
      </c>
      <c r="I35" s="35">
        <f t="shared" si="9"/>
        <v>17.18</v>
      </c>
      <c r="J35" s="35">
        <f t="shared" si="10"/>
        <v>19.2</v>
      </c>
      <c r="K35" s="32">
        <f t="shared" si="11"/>
        <v>23</v>
      </c>
      <c r="L35" s="44" t="str">
        <f t="shared" si="12"/>
        <v>Carico</v>
      </c>
      <c r="M35" s="35">
        <f t="shared" si="13"/>
        <v>1.34350064350064</v>
      </c>
      <c r="N35" s="35">
        <f t="shared" si="14"/>
        <v>7.101360544217691</v>
      </c>
      <c r="O35" s="35">
        <f t="shared" si="15"/>
        <v>16.12200772200772</v>
      </c>
      <c r="P35" s="35">
        <f t="shared" si="16"/>
        <v>29.46104982533554</v>
      </c>
      <c r="Q35" s="35">
        <f t="shared" si="17"/>
        <v>45.295164552307426</v>
      </c>
      <c r="R35" s="35">
        <f t="shared" si="18"/>
        <v>54.219847398418835</v>
      </c>
      <c r="S35" s="35">
        <f t="shared" si="19"/>
        <v>62.37681559110132</v>
      </c>
      <c r="T35" s="35">
        <f t="shared" si="20"/>
        <v>69.09431880860453</v>
      </c>
      <c r="U35" s="36">
        <f t="shared" si="21"/>
        <v>79.65039529325244</v>
      </c>
      <c r="V35" s="36"/>
      <c r="W35" s="36">
        <f t="shared" si="22"/>
        <v>79.5352380952381</v>
      </c>
      <c r="X35" s="36"/>
      <c r="Y35" s="47">
        <v>33</v>
      </c>
      <c r="Z35" s="46">
        <f>IF(AND(Y35&gt;M35,Y35&lt;=U35,Y35&lt;=W35),_XLL.SPLINE(M35:U35,C35:K35,Y35),0)</f>
        <v>10.748363046209606</v>
      </c>
      <c r="AA35" s="34">
        <f t="shared" si="1"/>
        <v>0</v>
      </c>
      <c r="AB35" s="35">
        <f t="shared" si="23"/>
        <v>6.035238095238096</v>
      </c>
    </row>
    <row r="36" spans="2:28" s="35" customFormat="1" ht="12.75">
      <c r="B36" s="44" t="str">
        <f t="shared" si="2"/>
        <v>Peso</v>
      </c>
      <c r="C36" s="35">
        <f t="shared" si="3"/>
        <v>0</v>
      </c>
      <c r="D36" s="35">
        <f t="shared" si="4"/>
        <v>3.78</v>
      </c>
      <c r="E36" s="35">
        <f t="shared" si="5"/>
        <v>6.91</v>
      </c>
      <c r="F36" s="35">
        <f t="shared" si="6"/>
        <v>10.03</v>
      </c>
      <c r="G36" s="35">
        <f t="shared" si="7"/>
        <v>13.16</v>
      </c>
      <c r="H36" s="35">
        <f t="shared" si="8"/>
        <v>15.17</v>
      </c>
      <c r="I36" s="35">
        <f t="shared" si="9"/>
        <v>17.18</v>
      </c>
      <c r="J36" s="35">
        <f t="shared" si="10"/>
        <v>19.2</v>
      </c>
      <c r="K36" s="32">
        <f t="shared" si="11"/>
        <v>23</v>
      </c>
      <c r="L36" s="44" t="str">
        <f t="shared" si="12"/>
        <v>Carico</v>
      </c>
      <c r="M36" s="35">
        <f t="shared" si="13"/>
        <v>1.34350064350064</v>
      </c>
      <c r="N36" s="35">
        <f t="shared" si="14"/>
        <v>7.101360544217691</v>
      </c>
      <c r="O36" s="35">
        <f t="shared" si="15"/>
        <v>16.12200772200772</v>
      </c>
      <c r="P36" s="35">
        <f t="shared" si="16"/>
        <v>29.46104982533554</v>
      </c>
      <c r="Q36" s="35">
        <f t="shared" si="17"/>
        <v>45.295164552307426</v>
      </c>
      <c r="R36" s="35">
        <f t="shared" si="18"/>
        <v>54.219847398418835</v>
      </c>
      <c r="S36" s="35">
        <f t="shared" si="19"/>
        <v>62.37681559110132</v>
      </c>
      <c r="T36" s="35">
        <f t="shared" si="20"/>
        <v>69.09431880860453</v>
      </c>
      <c r="U36" s="36">
        <f t="shared" si="21"/>
        <v>79.65039529325244</v>
      </c>
      <c r="V36" s="36"/>
      <c r="W36" s="36">
        <f t="shared" si="22"/>
        <v>79.5352380952381</v>
      </c>
      <c r="X36" s="36"/>
      <c r="Y36" s="47">
        <v>34</v>
      </c>
      <c r="Z36" s="46">
        <f>IF(AND(Y36&gt;M36,Y36&lt;=U36,Y36&lt;=W36),_XLL.SPLINE(M36:U36,C36:K36,Y36),0)</f>
        <v>10.944226996835331</v>
      </c>
      <c r="AA36" s="34">
        <f t="shared" si="1"/>
        <v>0</v>
      </c>
      <c r="AB36" s="35">
        <f t="shared" si="23"/>
        <v>6.035238095238096</v>
      </c>
    </row>
    <row r="37" spans="2:28" s="35" customFormat="1" ht="12.75">
      <c r="B37" s="44" t="str">
        <f t="shared" si="2"/>
        <v>Peso</v>
      </c>
      <c r="C37" s="35">
        <f t="shared" si="3"/>
        <v>0</v>
      </c>
      <c r="D37" s="35">
        <f t="shared" si="4"/>
        <v>3.78</v>
      </c>
      <c r="E37" s="35">
        <f t="shared" si="5"/>
        <v>6.91</v>
      </c>
      <c r="F37" s="35">
        <f t="shared" si="6"/>
        <v>10.03</v>
      </c>
      <c r="G37" s="35">
        <f t="shared" si="7"/>
        <v>13.16</v>
      </c>
      <c r="H37" s="35">
        <f t="shared" si="8"/>
        <v>15.17</v>
      </c>
      <c r="I37" s="35">
        <f t="shared" si="9"/>
        <v>17.18</v>
      </c>
      <c r="J37" s="35">
        <f t="shared" si="10"/>
        <v>19.2</v>
      </c>
      <c r="K37" s="32">
        <f t="shared" si="11"/>
        <v>23</v>
      </c>
      <c r="L37" s="44" t="str">
        <f t="shared" si="12"/>
        <v>Carico</v>
      </c>
      <c r="M37" s="35">
        <f t="shared" si="13"/>
        <v>1.34350064350064</v>
      </c>
      <c r="N37" s="35">
        <f t="shared" si="14"/>
        <v>7.101360544217691</v>
      </c>
      <c r="O37" s="35">
        <f t="shared" si="15"/>
        <v>16.12200772200772</v>
      </c>
      <c r="P37" s="35">
        <f t="shared" si="16"/>
        <v>29.46104982533554</v>
      </c>
      <c r="Q37" s="35">
        <f t="shared" si="17"/>
        <v>45.295164552307426</v>
      </c>
      <c r="R37" s="35">
        <f t="shared" si="18"/>
        <v>54.219847398418835</v>
      </c>
      <c r="S37" s="35">
        <f t="shared" si="19"/>
        <v>62.37681559110132</v>
      </c>
      <c r="T37" s="35">
        <f t="shared" si="20"/>
        <v>69.09431880860453</v>
      </c>
      <c r="U37" s="36">
        <f t="shared" si="21"/>
        <v>79.65039529325244</v>
      </c>
      <c r="V37" s="36"/>
      <c r="W37" s="36">
        <f t="shared" si="22"/>
        <v>79.5352380952381</v>
      </c>
      <c r="X37" s="36"/>
      <c r="Y37" s="47">
        <v>35</v>
      </c>
      <c r="Z37" s="46">
        <f>IF(AND(Y37&gt;M37,Y37&lt;=U37,Y37&lt;=W37),_XLL.SPLINE(M37:U37,C37:K37,Y37),0)</f>
        <v>11.138067485689378</v>
      </c>
      <c r="AA37" s="34">
        <f t="shared" si="1"/>
        <v>0</v>
      </c>
      <c r="AB37" s="35">
        <f t="shared" si="23"/>
        <v>6.035238095238096</v>
      </c>
    </row>
    <row r="38" spans="2:28" s="35" customFormat="1" ht="12.75">
      <c r="B38" s="44" t="str">
        <f t="shared" si="2"/>
        <v>Peso</v>
      </c>
      <c r="C38" s="35">
        <f t="shared" si="3"/>
        <v>0</v>
      </c>
      <c r="D38" s="35">
        <f t="shared" si="4"/>
        <v>3.78</v>
      </c>
      <c r="E38" s="35">
        <f t="shared" si="5"/>
        <v>6.91</v>
      </c>
      <c r="F38" s="35">
        <f t="shared" si="6"/>
        <v>10.03</v>
      </c>
      <c r="G38" s="35">
        <f t="shared" si="7"/>
        <v>13.16</v>
      </c>
      <c r="H38" s="35">
        <f t="shared" si="8"/>
        <v>15.17</v>
      </c>
      <c r="I38" s="35">
        <f t="shared" si="9"/>
        <v>17.18</v>
      </c>
      <c r="J38" s="35">
        <f t="shared" si="10"/>
        <v>19.2</v>
      </c>
      <c r="K38" s="32">
        <f t="shared" si="11"/>
        <v>23</v>
      </c>
      <c r="L38" s="44" t="str">
        <f t="shared" si="12"/>
        <v>Carico</v>
      </c>
      <c r="M38" s="35">
        <f t="shared" si="13"/>
        <v>1.34350064350064</v>
      </c>
      <c r="N38" s="35">
        <f t="shared" si="14"/>
        <v>7.101360544217691</v>
      </c>
      <c r="O38" s="35">
        <f t="shared" si="15"/>
        <v>16.12200772200772</v>
      </c>
      <c r="P38" s="35">
        <f t="shared" si="16"/>
        <v>29.46104982533554</v>
      </c>
      <c r="Q38" s="35">
        <f t="shared" si="17"/>
        <v>45.295164552307426</v>
      </c>
      <c r="R38" s="35">
        <f t="shared" si="18"/>
        <v>54.219847398418835</v>
      </c>
      <c r="S38" s="35">
        <f t="shared" si="19"/>
        <v>62.37681559110132</v>
      </c>
      <c r="T38" s="35">
        <f t="shared" si="20"/>
        <v>69.09431880860453</v>
      </c>
      <c r="U38" s="36">
        <f t="shared" si="21"/>
        <v>79.65039529325244</v>
      </c>
      <c r="V38" s="36"/>
      <c r="W38" s="36">
        <f t="shared" si="22"/>
        <v>79.5352380952381</v>
      </c>
      <c r="X38" s="36"/>
      <c r="Y38" s="47">
        <v>36</v>
      </c>
      <c r="Z38" s="46">
        <f>IF(AND(Y38&gt;M38,Y38&lt;=U38,Y38&lt;=W38),_XLL.SPLINE(M38:U38,C38:K38,Y38),0)</f>
        <v>11.330488656700489</v>
      </c>
      <c r="AA38" s="34">
        <f t="shared" si="1"/>
        <v>0</v>
      </c>
      <c r="AB38" s="35">
        <f t="shared" si="23"/>
        <v>6.035238095238096</v>
      </c>
    </row>
    <row r="39" spans="2:28" s="35" customFormat="1" ht="12.75">
      <c r="B39" s="44" t="str">
        <f t="shared" si="2"/>
        <v>Peso</v>
      </c>
      <c r="C39" s="35">
        <f t="shared" si="3"/>
        <v>0</v>
      </c>
      <c r="D39" s="35">
        <f t="shared" si="4"/>
        <v>3.78</v>
      </c>
      <c r="E39" s="35">
        <f t="shared" si="5"/>
        <v>6.91</v>
      </c>
      <c r="F39" s="35">
        <f t="shared" si="6"/>
        <v>10.03</v>
      </c>
      <c r="G39" s="35">
        <f t="shared" si="7"/>
        <v>13.16</v>
      </c>
      <c r="H39" s="35">
        <f t="shared" si="8"/>
        <v>15.17</v>
      </c>
      <c r="I39" s="35">
        <f t="shared" si="9"/>
        <v>17.18</v>
      </c>
      <c r="J39" s="35">
        <f t="shared" si="10"/>
        <v>19.2</v>
      </c>
      <c r="K39" s="32">
        <f t="shared" si="11"/>
        <v>23</v>
      </c>
      <c r="L39" s="44" t="str">
        <f t="shared" si="12"/>
        <v>Carico</v>
      </c>
      <c r="M39" s="35">
        <f t="shared" si="13"/>
        <v>1.34350064350064</v>
      </c>
      <c r="N39" s="35">
        <f t="shared" si="14"/>
        <v>7.101360544217691</v>
      </c>
      <c r="O39" s="35">
        <f t="shared" si="15"/>
        <v>16.12200772200772</v>
      </c>
      <c r="P39" s="35">
        <f t="shared" si="16"/>
        <v>29.46104982533554</v>
      </c>
      <c r="Q39" s="35">
        <f t="shared" si="17"/>
        <v>45.295164552307426</v>
      </c>
      <c r="R39" s="35">
        <f t="shared" si="18"/>
        <v>54.219847398418835</v>
      </c>
      <c r="S39" s="35">
        <f t="shared" si="19"/>
        <v>62.37681559110132</v>
      </c>
      <c r="T39" s="35">
        <f t="shared" si="20"/>
        <v>69.09431880860453</v>
      </c>
      <c r="U39" s="36">
        <f t="shared" si="21"/>
        <v>79.65039529325244</v>
      </c>
      <c r="V39" s="36"/>
      <c r="W39" s="36">
        <f t="shared" si="22"/>
        <v>79.5352380952381</v>
      </c>
      <c r="X39" s="36"/>
      <c r="Y39" s="47">
        <v>37</v>
      </c>
      <c r="Z39" s="46">
        <f>IF(AND(Y39&gt;M39,Y39&lt;=U39,Y39&lt;=W39),_XLL.SPLINE(M39:U39,C39:K39,Y39),0)</f>
        <v>11.52209465379742</v>
      </c>
      <c r="AA39" s="34">
        <f t="shared" si="1"/>
        <v>0</v>
      </c>
      <c r="AB39" s="35">
        <f t="shared" si="23"/>
        <v>6.035238095238096</v>
      </c>
    </row>
    <row r="40" spans="2:28" s="35" customFormat="1" ht="12.75">
      <c r="B40" s="44" t="str">
        <f t="shared" si="2"/>
        <v>Peso</v>
      </c>
      <c r="C40" s="35">
        <f t="shared" si="3"/>
        <v>0</v>
      </c>
      <c r="D40" s="35">
        <f t="shared" si="4"/>
        <v>3.78</v>
      </c>
      <c r="E40" s="35">
        <f t="shared" si="5"/>
        <v>6.91</v>
      </c>
      <c r="F40" s="35">
        <f t="shared" si="6"/>
        <v>10.03</v>
      </c>
      <c r="G40" s="35">
        <f t="shared" si="7"/>
        <v>13.16</v>
      </c>
      <c r="H40" s="35">
        <f t="shared" si="8"/>
        <v>15.17</v>
      </c>
      <c r="I40" s="35">
        <f t="shared" si="9"/>
        <v>17.18</v>
      </c>
      <c r="J40" s="35">
        <f t="shared" si="10"/>
        <v>19.2</v>
      </c>
      <c r="K40" s="32">
        <f t="shared" si="11"/>
        <v>23</v>
      </c>
      <c r="L40" s="44" t="str">
        <f t="shared" si="12"/>
        <v>Carico</v>
      </c>
      <c r="M40" s="35">
        <f t="shared" si="13"/>
        <v>1.34350064350064</v>
      </c>
      <c r="N40" s="35">
        <f t="shared" si="14"/>
        <v>7.101360544217691</v>
      </c>
      <c r="O40" s="35">
        <f t="shared" si="15"/>
        <v>16.12200772200772</v>
      </c>
      <c r="P40" s="35">
        <f t="shared" si="16"/>
        <v>29.46104982533554</v>
      </c>
      <c r="Q40" s="35">
        <f t="shared" si="17"/>
        <v>45.295164552307426</v>
      </c>
      <c r="R40" s="35">
        <f t="shared" si="18"/>
        <v>54.219847398418835</v>
      </c>
      <c r="S40" s="35">
        <f t="shared" si="19"/>
        <v>62.37681559110132</v>
      </c>
      <c r="T40" s="35">
        <f t="shared" si="20"/>
        <v>69.09431880860453</v>
      </c>
      <c r="U40" s="36">
        <f t="shared" si="21"/>
        <v>79.65039529325244</v>
      </c>
      <c r="V40" s="36"/>
      <c r="W40" s="36">
        <f t="shared" si="22"/>
        <v>79.5352380952381</v>
      </c>
      <c r="X40" s="36"/>
      <c r="Y40" s="47">
        <v>38</v>
      </c>
      <c r="Z40" s="46">
        <f>IF(AND(Y40&gt;M40,Y40&lt;=U40,Y40&lt;=W40),_XLL.SPLINE(M40:U40,C40:K40,Y40),0)</f>
        <v>11.713489620908927</v>
      </c>
      <c r="AA40" s="34">
        <f t="shared" si="1"/>
        <v>0</v>
      </c>
      <c r="AB40" s="35">
        <f t="shared" si="23"/>
        <v>6.035238095238096</v>
      </c>
    </row>
    <row r="41" spans="2:28" s="35" customFormat="1" ht="12.75">
      <c r="B41" s="44" t="str">
        <f t="shared" si="2"/>
        <v>Peso</v>
      </c>
      <c r="C41" s="35">
        <f t="shared" si="3"/>
        <v>0</v>
      </c>
      <c r="D41" s="35">
        <f t="shared" si="4"/>
        <v>3.78</v>
      </c>
      <c r="E41" s="35">
        <f t="shared" si="5"/>
        <v>6.91</v>
      </c>
      <c r="F41" s="35">
        <f t="shared" si="6"/>
        <v>10.03</v>
      </c>
      <c r="G41" s="35">
        <f t="shared" si="7"/>
        <v>13.16</v>
      </c>
      <c r="H41" s="35">
        <f t="shared" si="8"/>
        <v>15.17</v>
      </c>
      <c r="I41" s="35">
        <f t="shared" si="9"/>
        <v>17.18</v>
      </c>
      <c r="J41" s="35">
        <f t="shared" si="10"/>
        <v>19.2</v>
      </c>
      <c r="K41" s="32">
        <f t="shared" si="11"/>
        <v>23</v>
      </c>
      <c r="L41" s="44" t="str">
        <f t="shared" si="12"/>
        <v>Carico</v>
      </c>
      <c r="M41" s="35">
        <f t="shared" si="13"/>
        <v>1.34350064350064</v>
      </c>
      <c r="N41" s="35">
        <f t="shared" si="14"/>
        <v>7.101360544217691</v>
      </c>
      <c r="O41" s="35">
        <f t="shared" si="15"/>
        <v>16.12200772200772</v>
      </c>
      <c r="P41" s="35">
        <f t="shared" si="16"/>
        <v>29.46104982533554</v>
      </c>
      <c r="Q41" s="35">
        <f t="shared" si="17"/>
        <v>45.295164552307426</v>
      </c>
      <c r="R41" s="35">
        <f t="shared" si="18"/>
        <v>54.219847398418835</v>
      </c>
      <c r="S41" s="35">
        <f t="shared" si="19"/>
        <v>62.37681559110132</v>
      </c>
      <c r="T41" s="35">
        <f t="shared" si="20"/>
        <v>69.09431880860453</v>
      </c>
      <c r="U41" s="36">
        <f t="shared" si="21"/>
        <v>79.65039529325244</v>
      </c>
      <c r="V41" s="36"/>
      <c r="W41" s="36">
        <f t="shared" si="22"/>
        <v>79.5352380952381</v>
      </c>
      <c r="X41" s="36"/>
      <c r="Y41" s="47">
        <v>39</v>
      </c>
      <c r="Z41" s="46">
        <f>IF(AND(Y41&gt;M41,Y41&lt;=U41,Y41&lt;=W41),_XLL.SPLINE(M41:U41,C41:K41,Y41),0)</f>
        <v>11.905277701963753</v>
      </c>
      <c r="AA41" s="34">
        <f t="shared" si="1"/>
        <v>0</v>
      </c>
      <c r="AB41" s="35">
        <f t="shared" si="23"/>
        <v>6.035238095238096</v>
      </c>
    </row>
    <row r="42" spans="2:28" s="35" customFormat="1" ht="12.75">
      <c r="B42" s="44" t="str">
        <f t="shared" si="2"/>
        <v>Peso</v>
      </c>
      <c r="C42" s="35">
        <f t="shared" si="3"/>
        <v>0</v>
      </c>
      <c r="D42" s="35">
        <f t="shared" si="4"/>
        <v>3.78</v>
      </c>
      <c r="E42" s="35">
        <f t="shared" si="5"/>
        <v>6.91</v>
      </c>
      <c r="F42" s="35">
        <f t="shared" si="6"/>
        <v>10.03</v>
      </c>
      <c r="G42" s="35">
        <f t="shared" si="7"/>
        <v>13.16</v>
      </c>
      <c r="H42" s="35">
        <f t="shared" si="8"/>
        <v>15.17</v>
      </c>
      <c r="I42" s="35">
        <f t="shared" si="9"/>
        <v>17.18</v>
      </c>
      <c r="J42" s="35">
        <f t="shared" si="10"/>
        <v>19.2</v>
      </c>
      <c r="K42" s="32">
        <f t="shared" si="11"/>
        <v>23</v>
      </c>
      <c r="L42" s="44" t="str">
        <f t="shared" si="12"/>
        <v>Carico</v>
      </c>
      <c r="M42" s="35">
        <f t="shared" si="13"/>
        <v>1.34350064350064</v>
      </c>
      <c r="N42" s="35">
        <f t="shared" si="14"/>
        <v>7.101360544217691</v>
      </c>
      <c r="O42" s="35">
        <f t="shared" si="15"/>
        <v>16.12200772200772</v>
      </c>
      <c r="P42" s="35">
        <f t="shared" si="16"/>
        <v>29.46104982533554</v>
      </c>
      <c r="Q42" s="35">
        <f t="shared" si="17"/>
        <v>45.295164552307426</v>
      </c>
      <c r="R42" s="35">
        <f t="shared" si="18"/>
        <v>54.219847398418835</v>
      </c>
      <c r="S42" s="35">
        <f t="shared" si="19"/>
        <v>62.37681559110132</v>
      </c>
      <c r="T42" s="35">
        <f t="shared" si="20"/>
        <v>69.09431880860453</v>
      </c>
      <c r="U42" s="36">
        <f t="shared" si="21"/>
        <v>79.65039529325244</v>
      </c>
      <c r="V42" s="36"/>
      <c r="W42" s="36">
        <f t="shared" si="22"/>
        <v>79.5352380952381</v>
      </c>
      <c r="X42" s="36"/>
      <c r="Y42" s="47">
        <v>40</v>
      </c>
      <c r="Z42" s="46">
        <f>IF(AND(Y42&gt;M42,Y42&lt;=U42,Y42&lt;=W42),_XLL.SPLINE(M42:U42,C42:K42,Y42),0)</f>
        <v>12.098063040890652</v>
      </c>
      <c r="AA42" s="34">
        <f t="shared" si="1"/>
        <v>0</v>
      </c>
      <c r="AB42" s="35">
        <f t="shared" si="23"/>
        <v>6.035238095238096</v>
      </c>
    </row>
    <row r="43" spans="2:28" s="35" customFormat="1" ht="12.75">
      <c r="B43" s="44" t="str">
        <f t="shared" si="2"/>
        <v>Peso</v>
      </c>
      <c r="C43" s="35">
        <f t="shared" si="3"/>
        <v>0</v>
      </c>
      <c r="D43" s="35">
        <f t="shared" si="4"/>
        <v>3.78</v>
      </c>
      <c r="E43" s="35">
        <f t="shared" si="5"/>
        <v>6.91</v>
      </c>
      <c r="F43" s="35">
        <f t="shared" si="6"/>
        <v>10.03</v>
      </c>
      <c r="G43" s="35">
        <f t="shared" si="7"/>
        <v>13.16</v>
      </c>
      <c r="H43" s="35">
        <f t="shared" si="8"/>
        <v>15.17</v>
      </c>
      <c r="I43" s="35">
        <f t="shared" si="9"/>
        <v>17.18</v>
      </c>
      <c r="J43" s="35">
        <f t="shared" si="10"/>
        <v>19.2</v>
      </c>
      <c r="K43" s="32">
        <f t="shared" si="11"/>
        <v>23</v>
      </c>
      <c r="L43" s="44" t="str">
        <f t="shared" si="12"/>
        <v>Carico</v>
      </c>
      <c r="M43" s="35">
        <f t="shared" si="13"/>
        <v>1.34350064350064</v>
      </c>
      <c r="N43" s="35">
        <f t="shared" si="14"/>
        <v>7.101360544217691</v>
      </c>
      <c r="O43" s="35">
        <f t="shared" si="15"/>
        <v>16.12200772200772</v>
      </c>
      <c r="P43" s="35">
        <f t="shared" si="16"/>
        <v>29.46104982533554</v>
      </c>
      <c r="Q43" s="35">
        <f t="shared" si="17"/>
        <v>45.295164552307426</v>
      </c>
      <c r="R43" s="35">
        <f t="shared" si="18"/>
        <v>54.219847398418835</v>
      </c>
      <c r="S43" s="35">
        <f t="shared" si="19"/>
        <v>62.37681559110132</v>
      </c>
      <c r="T43" s="35">
        <f t="shared" si="20"/>
        <v>69.09431880860453</v>
      </c>
      <c r="U43" s="36">
        <f t="shared" si="21"/>
        <v>79.65039529325244</v>
      </c>
      <c r="V43" s="36"/>
      <c r="W43" s="36">
        <f t="shared" si="22"/>
        <v>79.5352380952381</v>
      </c>
      <c r="X43" s="36"/>
      <c r="Y43" s="47">
        <v>41</v>
      </c>
      <c r="Z43" s="46">
        <f>IF(AND(Y43&gt;M43,Y43&lt;=U43,Y43&lt;=W43),_XLL.SPLINE(M43:U43,C43:K43,Y43),0)</f>
        <v>12.292449781618377</v>
      </c>
      <c r="AA43" s="34">
        <f t="shared" si="1"/>
        <v>0</v>
      </c>
      <c r="AB43" s="35">
        <f t="shared" si="23"/>
        <v>6.035238095238096</v>
      </c>
    </row>
    <row r="44" spans="2:28" s="35" customFormat="1" ht="12.75">
      <c r="B44" s="44" t="str">
        <f t="shared" si="2"/>
        <v>Peso</v>
      </c>
      <c r="C44" s="35">
        <f t="shared" si="3"/>
        <v>0</v>
      </c>
      <c r="D44" s="35">
        <f t="shared" si="4"/>
        <v>3.78</v>
      </c>
      <c r="E44" s="35">
        <f t="shared" si="5"/>
        <v>6.91</v>
      </c>
      <c r="F44" s="35">
        <f t="shared" si="6"/>
        <v>10.03</v>
      </c>
      <c r="G44" s="35">
        <f t="shared" si="7"/>
        <v>13.16</v>
      </c>
      <c r="H44" s="35">
        <f t="shared" si="8"/>
        <v>15.17</v>
      </c>
      <c r="I44" s="35">
        <f t="shared" si="9"/>
        <v>17.18</v>
      </c>
      <c r="J44" s="35">
        <f t="shared" si="10"/>
        <v>19.2</v>
      </c>
      <c r="K44" s="32">
        <f t="shared" si="11"/>
        <v>23</v>
      </c>
      <c r="L44" s="44" t="str">
        <f t="shared" si="12"/>
        <v>Carico</v>
      </c>
      <c r="M44" s="35">
        <f t="shared" si="13"/>
        <v>1.34350064350064</v>
      </c>
      <c r="N44" s="35">
        <f t="shared" si="14"/>
        <v>7.101360544217691</v>
      </c>
      <c r="O44" s="35">
        <f t="shared" si="15"/>
        <v>16.12200772200772</v>
      </c>
      <c r="P44" s="35">
        <f t="shared" si="16"/>
        <v>29.46104982533554</v>
      </c>
      <c r="Q44" s="35">
        <f t="shared" si="17"/>
        <v>45.295164552307426</v>
      </c>
      <c r="R44" s="35">
        <f t="shared" si="18"/>
        <v>54.219847398418835</v>
      </c>
      <c r="S44" s="35">
        <f t="shared" si="19"/>
        <v>62.37681559110132</v>
      </c>
      <c r="T44" s="35">
        <f t="shared" si="20"/>
        <v>69.09431880860453</v>
      </c>
      <c r="U44" s="36">
        <f t="shared" si="21"/>
        <v>79.65039529325244</v>
      </c>
      <c r="V44" s="36"/>
      <c r="W44" s="36">
        <f t="shared" si="22"/>
        <v>79.5352380952381</v>
      </c>
      <c r="X44" s="36"/>
      <c r="Y44" s="47">
        <v>42</v>
      </c>
      <c r="Z44" s="46">
        <f>IF(AND(Y44&gt;M44,Y44&lt;=U44,Y44&lt;=W44),_XLL.SPLINE(M44:U44,C44:K44,Y44),0)</f>
        <v>12.489042068075678</v>
      </c>
      <c r="AA44" s="34">
        <f t="shared" si="1"/>
        <v>0</v>
      </c>
      <c r="AB44" s="35">
        <f t="shared" si="23"/>
        <v>6.035238095238096</v>
      </c>
    </row>
    <row r="45" spans="2:28" s="35" customFormat="1" ht="12.75">
      <c r="B45" s="44" t="str">
        <f t="shared" si="2"/>
        <v>Peso</v>
      </c>
      <c r="C45" s="35">
        <f t="shared" si="3"/>
        <v>0</v>
      </c>
      <c r="D45" s="35">
        <f t="shared" si="4"/>
        <v>3.78</v>
      </c>
      <c r="E45" s="35">
        <f t="shared" si="5"/>
        <v>6.91</v>
      </c>
      <c r="F45" s="35">
        <f t="shared" si="6"/>
        <v>10.03</v>
      </c>
      <c r="G45" s="35">
        <f t="shared" si="7"/>
        <v>13.16</v>
      </c>
      <c r="H45" s="35">
        <f t="shared" si="8"/>
        <v>15.17</v>
      </c>
      <c r="I45" s="35">
        <f t="shared" si="9"/>
        <v>17.18</v>
      </c>
      <c r="J45" s="35">
        <f t="shared" si="10"/>
        <v>19.2</v>
      </c>
      <c r="K45" s="32">
        <f t="shared" si="11"/>
        <v>23</v>
      </c>
      <c r="L45" s="44" t="str">
        <f t="shared" si="12"/>
        <v>Carico</v>
      </c>
      <c r="M45" s="35">
        <f t="shared" si="13"/>
        <v>1.34350064350064</v>
      </c>
      <c r="N45" s="35">
        <f t="shared" si="14"/>
        <v>7.101360544217691</v>
      </c>
      <c r="O45" s="35">
        <f t="shared" si="15"/>
        <v>16.12200772200772</v>
      </c>
      <c r="P45" s="35">
        <f t="shared" si="16"/>
        <v>29.46104982533554</v>
      </c>
      <c r="Q45" s="35">
        <f t="shared" si="17"/>
        <v>45.295164552307426</v>
      </c>
      <c r="R45" s="35">
        <f t="shared" si="18"/>
        <v>54.219847398418835</v>
      </c>
      <c r="S45" s="35">
        <f t="shared" si="19"/>
        <v>62.37681559110132</v>
      </c>
      <c r="T45" s="35">
        <f t="shared" si="20"/>
        <v>69.09431880860453</v>
      </c>
      <c r="U45" s="36">
        <f t="shared" si="21"/>
        <v>79.65039529325244</v>
      </c>
      <c r="V45" s="36"/>
      <c r="W45" s="36">
        <f t="shared" si="22"/>
        <v>79.5352380952381</v>
      </c>
      <c r="X45" s="36"/>
      <c r="Y45" s="47">
        <v>43</v>
      </c>
      <c r="Z45" s="46">
        <f>IF(AND(Y45&gt;M45,Y45&lt;=U45,Y45&lt;=W45),_XLL.SPLINE(M45:U45,C45:K45,Y45),0)</f>
        <v>12.688444044191305</v>
      </c>
      <c r="AA45" s="34">
        <f t="shared" si="1"/>
        <v>0</v>
      </c>
      <c r="AB45" s="35">
        <f t="shared" si="23"/>
        <v>6.035238095238096</v>
      </c>
    </row>
    <row r="46" spans="2:28" s="35" customFormat="1" ht="12.75">
      <c r="B46" s="44" t="str">
        <f t="shared" si="2"/>
        <v>Peso</v>
      </c>
      <c r="C46" s="35">
        <f t="shared" si="3"/>
        <v>0</v>
      </c>
      <c r="D46" s="35">
        <f t="shared" si="4"/>
        <v>3.78</v>
      </c>
      <c r="E46" s="35">
        <f t="shared" si="5"/>
        <v>6.91</v>
      </c>
      <c r="F46" s="35">
        <f t="shared" si="6"/>
        <v>10.03</v>
      </c>
      <c r="G46" s="35">
        <f t="shared" si="7"/>
        <v>13.16</v>
      </c>
      <c r="H46" s="35">
        <f t="shared" si="8"/>
        <v>15.17</v>
      </c>
      <c r="I46" s="35">
        <f t="shared" si="9"/>
        <v>17.18</v>
      </c>
      <c r="J46" s="35">
        <f t="shared" si="10"/>
        <v>19.2</v>
      </c>
      <c r="K46" s="32">
        <f t="shared" si="11"/>
        <v>23</v>
      </c>
      <c r="L46" s="44" t="str">
        <f t="shared" si="12"/>
        <v>Carico</v>
      </c>
      <c r="M46" s="35">
        <f t="shared" si="13"/>
        <v>1.34350064350064</v>
      </c>
      <c r="N46" s="35">
        <f t="shared" si="14"/>
        <v>7.101360544217691</v>
      </c>
      <c r="O46" s="35">
        <f t="shared" si="15"/>
        <v>16.12200772200772</v>
      </c>
      <c r="P46" s="35">
        <f t="shared" si="16"/>
        <v>29.46104982533554</v>
      </c>
      <c r="Q46" s="35">
        <f t="shared" si="17"/>
        <v>45.295164552307426</v>
      </c>
      <c r="R46" s="35">
        <f t="shared" si="18"/>
        <v>54.219847398418835</v>
      </c>
      <c r="S46" s="35">
        <f t="shared" si="19"/>
        <v>62.37681559110132</v>
      </c>
      <c r="T46" s="35">
        <f t="shared" si="20"/>
        <v>69.09431880860453</v>
      </c>
      <c r="U46" s="36">
        <f t="shared" si="21"/>
        <v>79.65039529325244</v>
      </c>
      <c r="V46" s="36"/>
      <c r="W46" s="36">
        <f t="shared" si="22"/>
        <v>79.5352380952381</v>
      </c>
      <c r="X46" s="36"/>
      <c r="Y46" s="47">
        <v>44</v>
      </c>
      <c r="Z46" s="46">
        <f>IF(AND(Y46&gt;M46,Y46&lt;=U46,Y46&lt;=W46),_XLL.SPLINE(M46:U46,C46:K46,Y46),0)</f>
        <v>12.891259853894011</v>
      </c>
      <c r="AA46" s="34">
        <f t="shared" si="1"/>
        <v>0</v>
      </c>
      <c r="AB46" s="35">
        <f t="shared" si="23"/>
        <v>6.035238095238096</v>
      </c>
    </row>
    <row r="47" spans="2:28" s="35" customFormat="1" ht="12.75">
      <c r="B47" s="44" t="str">
        <f t="shared" si="2"/>
        <v>Peso</v>
      </c>
      <c r="C47" s="35">
        <f t="shared" si="3"/>
        <v>0</v>
      </c>
      <c r="D47" s="35">
        <f t="shared" si="4"/>
        <v>3.78</v>
      </c>
      <c r="E47" s="35">
        <f t="shared" si="5"/>
        <v>6.91</v>
      </c>
      <c r="F47" s="35">
        <f t="shared" si="6"/>
        <v>10.03</v>
      </c>
      <c r="G47" s="35">
        <f t="shared" si="7"/>
        <v>13.16</v>
      </c>
      <c r="H47" s="35">
        <f t="shared" si="8"/>
        <v>15.17</v>
      </c>
      <c r="I47" s="35">
        <f t="shared" si="9"/>
        <v>17.18</v>
      </c>
      <c r="J47" s="35">
        <f t="shared" si="10"/>
        <v>19.2</v>
      </c>
      <c r="K47" s="32">
        <f t="shared" si="11"/>
        <v>23</v>
      </c>
      <c r="L47" s="44" t="str">
        <f t="shared" si="12"/>
        <v>Carico</v>
      </c>
      <c r="M47" s="35">
        <f t="shared" si="13"/>
        <v>1.34350064350064</v>
      </c>
      <c r="N47" s="35">
        <f t="shared" si="14"/>
        <v>7.101360544217691</v>
      </c>
      <c r="O47" s="35">
        <f t="shared" si="15"/>
        <v>16.12200772200772</v>
      </c>
      <c r="P47" s="35">
        <f t="shared" si="16"/>
        <v>29.46104982533554</v>
      </c>
      <c r="Q47" s="35">
        <f t="shared" si="17"/>
        <v>45.295164552307426</v>
      </c>
      <c r="R47" s="35">
        <f t="shared" si="18"/>
        <v>54.219847398418835</v>
      </c>
      <c r="S47" s="35">
        <f t="shared" si="19"/>
        <v>62.37681559110132</v>
      </c>
      <c r="T47" s="35">
        <f t="shared" si="20"/>
        <v>69.09431880860453</v>
      </c>
      <c r="U47" s="36">
        <f t="shared" si="21"/>
        <v>79.65039529325244</v>
      </c>
      <c r="V47" s="36"/>
      <c r="W47" s="36">
        <f t="shared" si="22"/>
        <v>79.5352380952381</v>
      </c>
      <c r="X47" s="36"/>
      <c r="Y47" s="47">
        <v>45</v>
      </c>
      <c r="Z47" s="46">
        <f>IF(AND(Y47&gt;M47,Y47&lt;=U47,Y47&lt;=W47),_XLL.SPLINE(M47:U47,C47:K47,Y47),0)</f>
        <v>13.098093641112548</v>
      </c>
      <c r="AA47" s="34">
        <f t="shared" si="1"/>
        <v>0</v>
      </c>
      <c r="AB47" s="35">
        <f t="shared" si="23"/>
        <v>6.035238095238096</v>
      </c>
    </row>
    <row r="48" spans="2:28" s="35" customFormat="1" ht="12.75">
      <c r="B48" s="44" t="str">
        <f t="shared" si="2"/>
        <v>Peso</v>
      </c>
      <c r="C48" s="35">
        <f t="shared" si="3"/>
        <v>0</v>
      </c>
      <c r="D48" s="35">
        <f t="shared" si="4"/>
        <v>3.78</v>
      </c>
      <c r="E48" s="35">
        <f t="shared" si="5"/>
        <v>6.91</v>
      </c>
      <c r="F48" s="35">
        <f t="shared" si="6"/>
        <v>10.03</v>
      </c>
      <c r="G48" s="35">
        <f t="shared" si="7"/>
        <v>13.16</v>
      </c>
      <c r="H48" s="35">
        <f t="shared" si="8"/>
        <v>15.17</v>
      </c>
      <c r="I48" s="35">
        <f t="shared" si="9"/>
        <v>17.18</v>
      </c>
      <c r="J48" s="35">
        <f t="shared" si="10"/>
        <v>19.2</v>
      </c>
      <c r="K48" s="32">
        <f t="shared" si="11"/>
        <v>23</v>
      </c>
      <c r="L48" s="44" t="str">
        <f t="shared" si="12"/>
        <v>Carico</v>
      </c>
      <c r="M48" s="35">
        <f t="shared" si="13"/>
        <v>1.34350064350064</v>
      </c>
      <c r="N48" s="35">
        <f t="shared" si="14"/>
        <v>7.101360544217691</v>
      </c>
      <c r="O48" s="35">
        <f t="shared" si="15"/>
        <v>16.12200772200772</v>
      </c>
      <c r="P48" s="35">
        <f t="shared" si="16"/>
        <v>29.46104982533554</v>
      </c>
      <c r="Q48" s="35">
        <f t="shared" si="17"/>
        <v>45.295164552307426</v>
      </c>
      <c r="R48" s="35">
        <f t="shared" si="18"/>
        <v>54.219847398418835</v>
      </c>
      <c r="S48" s="35">
        <f t="shared" si="19"/>
        <v>62.37681559110132</v>
      </c>
      <c r="T48" s="35">
        <f t="shared" si="20"/>
        <v>69.09431880860453</v>
      </c>
      <c r="U48" s="36">
        <f t="shared" si="21"/>
        <v>79.65039529325244</v>
      </c>
      <c r="V48" s="36"/>
      <c r="W48" s="36">
        <f t="shared" si="22"/>
        <v>79.5352380952381</v>
      </c>
      <c r="X48" s="36"/>
      <c r="Y48" s="47">
        <v>46</v>
      </c>
      <c r="Z48" s="46">
        <f>IF(AND(Y48&gt;M48,Y48&lt;=U48,Y48&lt;=W48),_XLL.SPLINE(M48:U48,C48:K48,Y48),0)</f>
        <v>13.309485110698148</v>
      </c>
      <c r="AA48" s="34">
        <f t="shared" si="1"/>
        <v>0</v>
      </c>
      <c r="AB48" s="35">
        <f t="shared" si="23"/>
        <v>6.035238095238096</v>
      </c>
    </row>
    <row r="49" spans="2:28" s="35" customFormat="1" ht="12.75">
      <c r="B49" s="44" t="str">
        <f t="shared" si="2"/>
        <v>Peso</v>
      </c>
      <c r="C49" s="35">
        <f t="shared" si="3"/>
        <v>0</v>
      </c>
      <c r="D49" s="35">
        <f t="shared" si="4"/>
        <v>3.78</v>
      </c>
      <c r="E49" s="35">
        <f t="shared" si="5"/>
        <v>6.91</v>
      </c>
      <c r="F49" s="35">
        <f t="shared" si="6"/>
        <v>10.03</v>
      </c>
      <c r="G49" s="35">
        <f t="shared" si="7"/>
        <v>13.16</v>
      </c>
      <c r="H49" s="35">
        <f t="shared" si="8"/>
        <v>15.17</v>
      </c>
      <c r="I49" s="35">
        <f t="shared" si="9"/>
        <v>17.18</v>
      </c>
      <c r="J49" s="35">
        <f t="shared" si="10"/>
        <v>19.2</v>
      </c>
      <c r="K49" s="32">
        <f t="shared" si="11"/>
        <v>23</v>
      </c>
      <c r="L49" s="44" t="str">
        <f t="shared" si="12"/>
        <v>Carico</v>
      </c>
      <c r="M49" s="35">
        <f t="shared" si="13"/>
        <v>1.34350064350064</v>
      </c>
      <c r="N49" s="35">
        <f t="shared" si="14"/>
        <v>7.101360544217691</v>
      </c>
      <c r="O49" s="35">
        <f t="shared" si="15"/>
        <v>16.12200772200772</v>
      </c>
      <c r="P49" s="35">
        <f t="shared" si="16"/>
        <v>29.46104982533554</v>
      </c>
      <c r="Q49" s="35">
        <f t="shared" si="17"/>
        <v>45.295164552307426</v>
      </c>
      <c r="R49" s="35">
        <f t="shared" si="18"/>
        <v>54.219847398418835</v>
      </c>
      <c r="S49" s="35">
        <f t="shared" si="19"/>
        <v>62.37681559110132</v>
      </c>
      <c r="T49" s="35">
        <f t="shared" si="20"/>
        <v>69.09431880860453</v>
      </c>
      <c r="U49" s="36">
        <f t="shared" si="21"/>
        <v>79.65039529325244</v>
      </c>
      <c r="V49" s="36"/>
      <c r="W49" s="36">
        <f t="shared" si="22"/>
        <v>79.5352380952381</v>
      </c>
      <c r="X49" s="36"/>
      <c r="Y49" s="47">
        <v>47</v>
      </c>
      <c r="Z49" s="46">
        <f>IF(AND(Y49&gt;M49,Y49&lt;=U49,Y49&lt;=W49),_XLL.SPLINE(M49:U49,C49:K49,Y49),0)</f>
        <v>13.525319852605765</v>
      </c>
      <c r="AA49" s="34">
        <f t="shared" si="1"/>
        <v>0</v>
      </c>
      <c r="AB49" s="35">
        <f t="shared" si="23"/>
        <v>6.035238095238096</v>
      </c>
    </row>
    <row r="50" spans="2:28" s="35" customFormat="1" ht="12.75">
      <c r="B50" s="44" t="str">
        <f t="shared" si="2"/>
        <v>Peso</v>
      </c>
      <c r="C50" s="35">
        <f t="shared" si="3"/>
        <v>0</v>
      </c>
      <c r="D50" s="35">
        <f t="shared" si="4"/>
        <v>3.78</v>
      </c>
      <c r="E50" s="35">
        <f t="shared" si="5"/>
        <v>6.91</v>
      </c>
      <c r="F50" s="35">
        <f t="shared" si="6"/>
        <v>10.03</v>
      </c>
      <c r="G50" s="35">
        <f t="shared" si="7"/>
        <v>13.16</v>
      </c>
      <c r="H50" s="35">
        <f t="shared" si="8"/>
        <v>15.17</v>
      </c>
      <c r="I50" s="35">
        <f t="shared" si="9"/>
        <v>17.18</v>
      </c>
      <c r="J50" s="35">
        <f t="shared" si="10"/>
        <v>19.2</v>
      </c>
      <c r="K50" s="32">
        <f t="shared" si="11"/>
        <v>23</v>
      </c>
      <c r="L50" s="44" t="str">
        <f t="shared" si="12"/>
        <v>Carico</v>
      </c>
      <c r="M50" s="35">
        <f t="shared" si="13"/>
        <v>1.34350064350064</v>
      </c>
      <c r="N50" s="35">
        <f t="shared" si="14"/>
        <v>7.101360544217691</v>
      </c>
      <c r="O50" s="35">
        <f t="shared" si="15"/>
        <v>16.12200772200772</v>
      </c>
      <c r="P50" s="35">
        <f t="shared" si="16"/>
        <v>29.46104982533554</v>
      </c>
      <c r="Q50" s="35">
        <f t="shared" si="17"/>
        <v>45.295164552307426</v>
      </c>
      <c r="R50" s="35">
        <f t="shared" si="18"/>
        <v>54.219847398418835</v>
      </c>
      <c r="S50" s="35">
        <f t="shared" si="19"/>
        <v>62.37681559110132</v>
      </c>
      <c r="T50" s="35">
        <f t="shared" si="20"/>
        <v>69.09431880860453</v>
      </c>
      <c r="U50" s="36">
        <f t="shared" si="21"/>
        <v>79.65039529325244</v>
      </c>
      <c r="V50" s="36"/>
      <c r="W50" s="36">
        <f t="shared" si="22"/>
        <v>79.5352380952381</v>
      </c>
      <c r="X50" s="36"/>
      <c r="Y50" s="47">
        <v>48</v>
      </c>
      <c r="Z50" s="46">
        <f>IF(AND(Y50&gt;M50,Y50&lt;=U50,Y50&lt;=W50),_XLL.SPLINE(M50:U50,C50:K50,Y50),0)</f>
        <v>13.745102569551923</v>
      </c>
      <c r="AA50" s="34">
        <f t="shared" si="1"/>
        <v>0</v>
      </c>
      <c r="AB50" s="35">
        <f t="shared" si="23"/>
        <v>6.035238095238096</v>
      </c>
    </row>
    <row r="51" spans="2:28" s="35" customFormat="1" ht="12.75">
      <c r="B51" s="44" t="str">
        <f t="shared" si="2"/>
        <v>Peso</v>
      </c>
      <c r="C51" s="35">
        <f t="shared" si="3"/>
        <v>0</v>
      </c>
      <c r="D51" s="35">
        <f t="shared" si="4"/>
        <v>3.78</v>
      </c>
      <c r="E51" s="35">
        <f t="shared" si="5"/>
        <v>6.91</v>
      </c>
      <c r="F51" s="35">
        <f t="shared" si="6"/>
        <v>10.03</v>
      </c>
      <c r="G51" s="35">
        <f t="shared" si="7"/>
        <v>13.16</v>
      </c>
      <c r="H51" s="35">
        <f t="shared" si="8"/>
        <v>15.17</v>
      </c>
      <c r="I51" s="35">
        <f t="shared" si="9"/>
        <v>17.18</v>
      </c>
      <c r="J51" s="35">
        <f t="shared" si="10"/>
        <v>19.2</v>
      </c>
      <c r="K51" s="32">
        <f t="shared" si="11"/>
        <v>23</v>
      </c>
      <c r="L51" s="44" t="str">
        <f t="shared" si="12"/>
        <v>Carico</v>
      </c>
      <c r="M51" s="35">
        <f t="shared" si="13"/>
        <v>1.34350064350064</v>
      </c>
      <c r="N51" s="35">
        <f t="shared" si="14"/>
        <v>7.101360544217691</v>
      </c>
      <c r="O51" s="35">
        <f t="shared" si="15"/>
        <v>16.12200772200772</v>
      </c>
      <c r="P51" s="35">
        <f t="shared" si="16"/>
        <v>29.46104982533554</v>
      </c>
      <c r="Q51" s="35">
        <f t="shared" si="17"/>
        <v>45.295164552307426</v>
      </c>
      <c r="R51" s="35">
        <f t="shared" si="18"/>
        <v>54.219847398418835</v>
      </c>
      <c r="S51" s="35">
        <f t="shared" si="19"/>
        <v>62.37681559110132</v>
      </c>
      <c r="T51" s="35">
        <f t="shared" si="20"/>
        <v>69.09431880860453</v>
      </c>
      <c r="U51" s="36">
        <f t="shared" si="21"/>
        <v>79.65039529325244</v>
      </c>
      <c r="V51" s="36"/>
      <c r="W51" s="36">
        <f t="shared" si="22"/>
        <v>79.5352380952381</v>
      </c>
      <c r="X51" s="36"/>
      <c r="Y51" s="47">
        <v>49</v>
      </c>
      <c r="Z51" s="46">
        <f>IF(AND(Y51&gt;M51,Y51&lt;=U51,Y51&lt;=W51),_XLL.SPLINE(M51:U51,C51:K51,Y51),0)</f>
        <v>13.968333231883063</v>
      </c>
      <c r="AA51" s="34">
        <f t="shared" si="1"/>
        <v>0</v>
      </c>
      <c r="AB51" s="35">
        <f t="shared" si="23"/>
        <v>6.035238095238096</v>
      </c>
    </row>
    <row r="52" spans="2:28" s="35" customFormat="1" ht="12.75">
      <c r="B52" s="44" t="str">
        <f t="shared" si="2"/>
        <v>Peso</v>
      </c>
      <c r="C52" s="35">
        <f t="shared" si="3"/>
        <v>0</v>
      </c>
      <c r="D52" s="35">
        <f t="shared" si="4"/>
        <v>3.78</v>
      </c>
      <c r="E52" s="35">
        <f t="shared" si="5"/>
        <v>6.91</v>
      </c>
      <c r="F52" s="35">
        <f t="shared" si="6"/>
        <v>10.03</v>
      </c>
      <c r="G52" s="35">
        <f t="shared" si="7"/>
        <v>13.16</v>
      </c>
      <c r="H52" s="35">
        <f t="shared" si="8"/>
        <v>15.17</v>
      </c>
      <c r="I52" s="35">
        <f t="shared" si="9"/>
        <v>17.18</v>
      </c>
      <c r="J52" s="35">
        <f t="shared" si="10"/>
        <v>19.2</v>
      </c>
      <c r="K52" s="32">
        <f t="shared" si="11"/>
        <v>23</v>
      </c>
      <c r="L52" s="44" t="str">
        <f t="shared" si="12"/>
        <v>Carico</v>
      </c>
      <c r="M52" s="35">
        <f t="shared" si="13"/>
        <v>1.34350064350064</v>
      </c>
      <c r="N52" s="35">
        <f t="shared" si="14"/>
        <v>7.101360544217691</v>
      </c>
      <c r="O52" s="35">
        <f t="shared" si="15"/>
        <v>16.12200772200772</v>
      </c>
      <c r="P52" s="35">
        <f t="shared" si="16"/>
        <v>29.46104982533554</v>
      </c>
      <c r="Q52" s="35">
        <f t="shared" si="17"/>
        <v>45.295164552307426</v>
      </c>
      <c r="R52" s="35">
        <f t="shared" si="18"/>
        <v>54.219847398418835</v>
      </c>
      <c r="S52" s="35">
        <f t="shared" si="19"/>
        <v>62.37681559110132</v>
      </c>
      <c r="T52" s="35">
        <f t="shared" si="20"/>
        <v>69.09431880860453</v>
      </c>
      <c r="U52" s="36">
        <f t="shared" si="21"/>
        <v>79.65039529325244</v>
      </c>
      <c r="V52" s="36"/>
      <c r="W52" s="36">
        <f t="shared" si="22"/>
        <v>79.5352380952381</v>
      </c>
      <c r="X52" s="36"/>
      <c r="Y52" s="47">
        <v>50</v>
      </c>
      <c r="Z52" s="46">
        <f>IF(AND(Y52&gt;M52,Y52&lt;=U52,Y52&lt;=W52),_XLL.SPLINE(M52:U52,C52:K52,Y52),0)</f>
        <v>14.194511809945617</v>
      </c>
      <c r="AA52" s="34">
        <f t="shared" si="1"/>
        <v>0</v>
      </c>
      <c r="AB52" s="35">
        <f t="shared" si="23"/>
        <v>6.035238095238096</v>
      </c>
    </row>
    <row r="53" spans="2:28" s="35" customFormat="1" ht="12.75">
      <c r="B53" s="44" t="str">
        <f t="shared" si="2"/>
        <v>Peso</v>
      </c>
      <c r="C53" s="35">
        <f t="shared" si="3"/>
        <v>0</v>
      </c>
      <c r="D53" s="35">
        <f t="shared" si="4"/>
        <v>3.78</v>
      </c>
      <c r="E53" s="35">
        <f t="shared" si="5"/>
        <v>6.91</v>
      </c>
      <c r="F53" s="35">
        <f t="shared" si="6"/>
        <v>10.03</v>
      </c>
      <c r="G53" s="35">
        <f t="shared" si="7"/>
        <v>13.16</v>
      </c>
      <c r="H53" s="35">
        <f t="shared" si="8"/>
        <v>15.17</v>
      </c>
      <c r="I53" s="35">
        <f t="shared" si="9"/>
        <v>17.18</v>
      </c>
      <c r="J53" s="35">
        <f t="shared" si="10"/>
        <v>19.2</v>
      </c>
      <c r="K53" s="32">
        <f t="shared" si="11"/>
        <v>23</v>
      </c>
      <c r="L53" s="44" t="str">
        <f t="shared" si="12"/>
        <v>Carico</v>
      </c>
      <c r="M53" s="35">
        <f t="shared" si="13"/>
        <v>1.34350064350064</v>
      </c>
      <c r="N53" s="35">
        <f t="shared" si="14"/>
        <v>7.101360544217691</v>
      </c>
      <c r="O53" s="35">
        <f t="shared" si="15"/>
        <v>16.12200772200772</v>
      </c>
      <c r="P53" s="35">
        <f t="shared" si="16"/>
        <v>29.46104982533554</v>
      </c>
      <c r="Q53" s="35">
        <f t="shared" si="17"/>
        <v>45.295164552307426</v>
      </c>
      <c r="R53" s="35">
        <f t="shared" si="18"/>
        <v>54.219847398418835</v>
      </c>
      <c r="S53" s="35">
        <f t="shared" si="19"/>
        <v>62.37681559110132</v>
      </c>
      <c r="T53" s="35">
        <f t="shared" si="20"/>
        <v>69.09431880860453</v>
      </c>
      <c r="U53" s="36">
        <f t="shared" si="21"/>
        <v>79.65039529325244</v>
      </c>
      <c r="V53" s="36"/>
      <c r="W53" s="36">
        <f t="shared" si="22"/>
        <v>79.5352380952381</v>
      </c>
      <c r="X53" s="36"/>
      <c r="Y53" s="47">
        <v>51</v>
      </c>
      <c r="Z53" s="46">
        <f>IF(AND(Y53&gt;M53,Y53&lt;=U53,Y53&lt;=W53),_XLL.SPLINE(M53:U53,C53:K53,Y53),0)</f>
        <v>14.42313827408602</v>
      </c>
      <c r="AA53" s="34">
        <f t="shared" si="1"/>
        <v>0</v>
      </c>
      <c r="AB53" s="35">
        <f t="shared" si="23"/>
        <v>6.035238095238096</v>
      </c>
    </row>
    <row r="54" spans="2:28" s="35" customFormat="1" ht="12.75">
      <c r="B54" s="44" t="str">
        <f t="shared" si="2"/>
        <v>Peso</v>
      </c>
      <c r="C54" s="35">
        <f t="shared" si="3"/>
        <v>0</v>
      </c>
      <c r="D54" s="35">
        <f t="shared" si="4"/>
        <v>3.78</v>
      </c>
      <c r="E54" s="35">
        <f t="shared" si="5"/>
        <v>6.91</v>
      </c>
      <c r="F54" s="35">
        <f t="shared" si="6"/>
        <v>10.03</v>
      </c>
      <c r="G54" s="35">
        <f t="shared" si="7"/>
        <v>13.16</v>
      </c>
      <c r="H54" s="35">
        <f t="shared" si="8"/>
        <v>15.17</v>
      </c>
      <c r="I54" s="35">
        <f t="shared" si="9"/>
        <v>17.18</v>
      </c>
      <c r="J54" s="35">
        <f t="shared" si="10"/>
        <v>19.2</v>
      </c>
      <c r="K54" s="32">
        <f t="shared" si="11"/>
        <v>23</v>
      </c>
      <c r="L54" s="44" t="str">
        <f t="shared" si="12"/>
        <v>Carico</v>
      </c>
      <c r="M54" s="35">
        <f t="shared" si="13"/>
        <v>1.34350064350064</v>
      </c>
      <c r="N54" s="35">
        <f t="shared" si="14"/>
        <v>7.101360544217691</v>
      </c>
      <c r="O54" s="35">
        <f t="shared" si="15"/>
        <v>16.12200772200772</v>
      </c>
      <c r="P54" s="35">
        <f t="shared" si="16"/>
        <v>29.46104982533554</v>
      </c>
      <c r="Q54" s="35">
        <f t="shared" si="17"/>
        <v>45.295164552307426</v>
      </c>
      <c r="R54" s="35">
        <f t="shared" si="18"/>
        <v>54.219847398418835</v>
      </c>
      <c r="S54" s="35">
        <f t="shared" si="19"/>
        <v>62.37681559110132</v>
      </c>
      <c r="T54" s="35">
        <f t="shared" si="20"/>
        <v>69.09431880860453</v>
      </c>
      <c r="U54" s="36">
        <f t="shared" si="21"/>
        <v>79.65039529325244</v>
      </c>
      <c r="V54" s="36"/>
      <c r="W54" s="36">
        <f t="shared" si="22"/>
        <v>79.5352380952381</v>
      </c>
      <c r="X54" s="36"/>
      <c r="Y54" s="47">
        <v>52</v>
      </c>
      <c r="Z54" s="46">
        <f>IF(AND(Y54&gt;M54,Y54&lt;=U54,Y54&lt;=W54),_XLL.SPLINE(M54:U54,C54:K54,Y54),0)</f>
        <v>14.65371259465071</v>
      </c>
      <c r="AA54" s="34">
        <f t="shared" si="1"/>
        <v>0</v>
      </c>
      <c r="AB54" s="35">
        <f t="shared" si="23"/>
        <v>6.035238095238096</v>
      </c>
    </row>
    <row r="55" spans="2:28" s="35" customFormat="1" ht="12.75">
      <c r="B55" s="44" t="str">
        <f t="shared" si="2"/>
        <v>Peso</v>
      </c>
      <c r="C55" s="35">
        <f t="shared" si="3"/>
        <v>0</v>
      </c>
      <c r="D55" s="35">
        <f t="shared" si="4"/>
        <v>3.78</v>
      </c>
      <c r="E55" s="35">
        <f t="shared" si="5"/>
        <v>6.91</v>
      </c>
      <c r="F55" s="35">
        <f t="shared" si="6"/>
        <v>10.03</v>
      </c>
      <c r="G55" s="35">
        <f t="shared" si="7"/>
        <v>13.16</v>
      </c>
      <c r="H55" s="35">
        <f t="shared" si="8"/>
        <v>15.17</v>
      </c>
      <c r="I55" s="35">
        <f t="shared" si="9"/>
        <v>17.18</v>
      </c>
      <c r="J55" s="35">
        <f t="shared" si="10"/>
        <v>19.2</v>
      </c>
      <c r="K55" s="32">
        <f t="shared" si="11"/>
        <v>23</v>
      </c>
      <c r="L55" s="44" t="str">
        <f t="shared" si="12"/>
        <v>Carico</v>
      </c>
      <c r="M55" s="35">
        <f t="shared" si="13"/>
        <v>1.34350064350064</v>
      </c>
      <c r="N55" s="35">
        <f t="shared" si="14"/>
        <v>7.101360544217691</v>
      </c>
      <c r="O55" s="35">
        <f t="shared" si="15"/>
        <v>16.12200772200772</v>
      </c>
      <c r="P55" s="35">
        <f t="shared" si="16"/>
        <v>29.46104982533554</v>
      </c>
      <c r="Q55" s="35">
        <f t="shared" si="17"/>
        <v>45.295164552307426</v>
      </c>
      <c r="R55" s="35">
        <f t="shared" si="18"/>
        <v>54.219847398418835</v>
      </c>
      <c r="S55" s="35">
        <f t="shared" si="19"/>
        <v>62.37681559110132</v>
      </c>
      <c r="T55" s="35">
        <f t="shared" si="20"/>
        <v>69.09431880860453</v>
      </c>
      <c r="U55" s="36">
        <f t="shared" si="21"/>
        <v>79.65039529325244</v>
      </c>
      <c r="V55" s="36"/>
      <c r="W55" s="36">
        <f t="shared" si="22"/>
        <v>79.5352380952381</v>
      </c>
      <c r="X55" s="36"/>
      <c r="Y55" s="47">
        <v>53</v>
      </c>
      <c r="Z55" s="46">
        <f>IF(AND(Y55&gt;M55,Y55&lt;=U55,Y55&lt;=W55),_XLL.SPLINE(M55:U55,C55:K55,Y55),0)</f>
        <v>14.88573474198612</v>
      </c>
      <c r="AA55" s="34">
        <f t="shared" si="1"/>
        <v>0</v>
      </c>
      <c r="AB55" s="35">
        <f t="shared" si="23"/>
        <v>6.035238095238096</v>
      </c>
    </row>
    <row r="56" spans="2:28" s="35" customFormat="1" ht="12.75">
      <c r="B56" s="44" t="str">
        <f t="shared" si="2"/>
        <v>Peso</v>
      </c>
      <c r="C56" s="35">
        <f t="shared" si="3"/>
        <v>0</v>
      </c>
      <c r="D56" s="35">
        <f t="shared" si="4"/>
        <v>3.78</v>
      </c>
      <c r="E56" s="35">
        <f t="shared" si="5"/>
        <v>6.91</v>
      </c>
      <c r="F56" s="35">
        <f t="shared" si="6"/>
        <v>10.03</v>
      </c>
      <c r="G56" s="35">
        <f t="shared" si="7"/>
        <v>13.16</v>
      </c>
      <c r="H56" s="35">
        <f t="shared" si="8"/>
        <v>15.17</v>
      </c>
      <c r="I56" s="35">
        <f t="shared" si="9"/>
        <v>17.18</v>
      </c>
      <c r="J56" s="35">
        <f t="shared" si="10"/>
        <v>19.2</v>
      </c>
      <c r="K56" s="32">
        <f t="shared" si="11"/>
        <v>23</v>
      </c>
      <c r="L56" s="44" t="str">
        <f t="shared" si="12"/>
        <v>Carico</v>
      </c>
      <c r="M56" s="35">
        <f t="shared" si="13"/>
        <v>1.34350064350064</v>
      </c>
      <c r="N56" s="35">
        <f t="shared" si="14"/>
        <v>7.101360544217691</v>
      </c>
      <c r="O56" s="35">
        <f t="shared" si="15"/>
        <v>16.12200772200772</v>
      </c>
      <c r="P56" s="35">
        <f t="shared" si="16"/>
        <v>29.46104982533554</v>
      </c>
      <c r="Q56" s="35">
        <f t="shared" si="17"/>
        <v>45.295164552307426</v>
      </c>
      <c r="R56" s="35">
        <f t="shared" si="18"/>
        <v>54.219847398418835</v>
      </c>
      <c r="S56" s="35">
        <f t="shared" si="19"/>
        <v>62.37681559110132</v>
      </c>
      <c r="T56" s="35">
        <f t="shared" si="20"/>
        <v>69.09431880860453</v>
      </c>
      <c r="U56" s="36">
        <f t="shared" si="21"/>
        <v>79.65039529325244</v>
      </c>
      <c r="V56" s="36"/>
      <c r="W56" s="36">
        <f t="shared" si="22"/>
        <v>79.5352380952381</v>
      </c>
      <c r="X56" s="36"/>
      <c r="Y56" s="47">
        <v>54</v>
      </c>
      <c r="Z56" s="46">
        <f>IF(AND(Y56&gt;M56,Y56&lt;=U56,Y56&lt;=W56),_XLL.SPLINE(M56:U56,C56:K56,Y56),0)</f>
        <v>15.118704686438685</v>
      </c>
      <c r="AA56" s="34">
        <f t="shared" si="1"/>
        <v>0</v>
      </c>
      <c r="AB56" s="35">
        <f t="shared" si="23"/>
        <v>6.035238095238096</v>
      </c>
    </row>
    <row r="57" spans="2:28" s="35" customFormat="1" ht="12.75">
      <c r="B57" s="44" t="str">
        <f t="shared" si="2"/>
        <v>Peso</v>
      </c>
      <c r="C57" s="35">
        <f t="shared" si="3"/>
        <v>0</v>
      </c>
      <c r="D57" s="35">
        <f t="shared" si="4"/>
        <v>3.78</v>
      </c>
      <c r="E57" s="35">
        <f t="shared" si="5"/>
        <v>6.91</v>
      </c>
      <c r="F57" s="35">
        <f t="shared" si="6"/>
        <v>10.03</v>
      </c>
      <c r="G57" s="35">
        <f t="shared" si="7"/>
        <v>13.16</v>
      </c>
      <c r="H57" s="35">
        <f t="shared" si="8"/>
        <v>15.17</v>
      </c>
      <c r="I57" s="35">
        <f t="shared" si="9"/>
        <v>17.18</v>
      </c>
      <c r="J57" s="35">
        <f t="shared" si="10"/>
        <v>19.2</v>
      </c>
      <c r="K57" s="32">
        <f t="shared" si="11"/>
        <v>23</v>
      </c>
      <c r="L57" s="44" t="str">
        <f t="shared" si="12"/>
        <v>Carico</v>
      </c>
      <c r="M57" s="35">
        <f t="shared" si="13"/>
        <v>1.34350064350064</v>
      </c>
      <c r="N57" s="35">
        <f t="shared" si="14"/>
        <v>7.101360544217691</v>
      </c>
      <c r="O57" s="35">
        <f t="shared" si="15"/>
        <v>16.12200772200772</v>
      </c>
      <c r="P57" s="35">
        <f t="shared" si="16"/>
        <v>29.46104982533554</v>
      </c>
      <c r="Q57" s="35">
        <f t="shared" si="17"/>
        <v>45.295164552307426</v>
      </c>
      <c r="R57" s="35">
        <f t="shared" si="18"/>
        <v>54.219847398418835</v>
      </c>
      <c r="S57" s="35">
        <f t="shared" si="19"/>
        <v>62.37681559110132</v>
      </c>
      <c r="T57" s="35">
        <f t="shared" si="20"/>
        <v>69.09431880860453</v>
      </c>
      <c r="U57" s="36">
        <f t="shared" si="21"/>
        <v>79.65039529325244</v>
      </c>
      <c r="V57" s="36"/>
      <c r="W57" s="36">
        <f t="shared" si="22"/>
        <v>79.5352380952381</v>
      </c>
      <c r="X57" s="36"/>
      <c r="Y57" s="47">
        <v>55</v>
      </c>
      <c r="Z57" s="46">
        <f>IF(AND(Y57&gt;M57,Y57&lt;=U57,Y57&lt;=W57),_XLL.SPLINE(M57:U57,C57:K57,Y57),0)</f>
        <v>15.35224527846313</v>
      </c>
      <c r="AA57" s="34">
        <f t="shared" si="1"/>
        <v>0</v>
      </c>
      <c r="AB57" s="35">
        <f t="shared" si="23"/>
        <v>6.035238095238096</v>
      </c>
    </row>
    <row r="58" spans="2:28" s="35" customFormat="1" ht="12.75">
      <c r="B58" s="44" t="str">
        <f t="shared" si="2"/>
        <v>Peso</v>
      </c>
      <c r="C58" s="35">
        <f t="shared" si="3"/>
        <v>0</v>
      </c>
      <c r="D58" s="35">
        <f t="shared" si="4"/>
        <v>3.78</v>
      </c>
      <c r="E58" s="35">
        <f t="shared" si="5"/>
        <v>6.91</v>
      </c>
      <c r="F58" s="35">
        <f t="shared" si="6"/>
        <v>10.03</v>
      </c>
      <c r="G58" s="35">
        <f t="shared" si="7"/>
        <v>13.16</v>
      </c>
      <c r="H58" s="35">
        <f t="shared" si="8"/>
        <v>15.17</v>
      </c>
      <c r="I58" s="35">
        <f t="shared" si="9"/>
        <v>17.18</v>
      </c>
      <c r="J58" s="35">
        <f t="shared" si="10"/>
        <v>19.2</v>
      </c>
      <c r="K58" s="32">
        <f t="shared" si="11"/>
        <v>23</v>
      </c>
      <c r="L58" s="44" t="str">
        <f t="shared" si="12"/>
        <v>Carico</v>
      </c>
      <c r="M58" s="35">
        <f t="shared" si="13"/>
        <v>1.34350064350064</v>
      </c>
      <c r="N58" s="35">
        <f t="shared" si="14"/>
        <v>7.101360544217691</v>
      </c>
      <c r="O58" s="35">
        <f t="shared" si="15"/>
        <v>16.12200772200772</v>
      </c>
      <c r="P58" s="35">
        <f t="shared" si="16"/>
        <v>29.46104982533554</v>
      </c>
      <c r="Q58" s="35">
        <f t="shared" si="17"/>
        <v>45.295164552307426</v>
      </c>
      <c r="R58" s="35">
        <f t="shared" si="18"/>
        <v>54.219847398418835</v>
      </c>
      <c r="S58" s="35">
        <f t="shared" si="19"/>
        <v>62.37681559110132</v>
      </c>
      <c r="T58" s="35">
        <f t="shared" si="20"/>
        <v>69.09431880860453</v>
      </c>
      <c r="U58" s="36">
        <f t="shared" si="21"/>
        <v>79.65039529325244</v>
      </c>
      <c r="V58" s="36"/>
      <c r="W58" s="36">
        <f t="shared" si="22"/>
        <v>79.5352380952381</v>
      </c>
      <c r="X58" s="36"/>
      <c r="Y58" s="47">
        <v>56</v>
      </c>
      <c r="Z58" s="46">
        <f>IF(AND(Y58&gt;M58,Y58&lt;=U58,Y58&lt;=W58),_XLL.SPLINE(M58:U58,C58:K58,Y58),0)</f>
        <v>15.586947719486462</v>
      </c>
      <c r="AA58" s="34">
        <f t="shared" si="1"/>
        <v>0</v>
      </c>
      <c r="AB58" s="35">
        <f t="shared" si="23"/>
        <v>6.035238095238096</v>
      </c>
    </row>
    <row r="59" spans="2:28" s="35" customFormat="1" ht="12.75">
      <c r="B59" s="44" t="str">
        <f t="shared" si="2"/>
        <v>Peso</v>
      </c>
      <c r="C59" s="35">
        <f t="shared" si="3"/>
        <v>0</v>
      </c>
      <c r="D59" s="35">
        <f t="shared" si="4"/>
        <v>3.78</v>
      </c>
      <c r="E59" s="35">
        <f t="shared" si="5"/>
        <v>6.91</v>
      </c>
      <c r="F59" s="35">
        <f t="shared" si="6"/>
        <v>10.03</v>
      </c>
      <c r="G59" s="35">
        <f t="shared" si="7"/>
        <v>13.16</v>
      </c>
      <c r="H59" s="35">
        <f t="shared" si="8"/>
        <v>15.17</v>
      </c>
      <c r="I59" s="35">
        <f t="shared" si="9"/>
        <v>17.18</v>
      </c>
      <c r="J59" s="35">
        <f t="shared" si="10"/>
        <v>19.2</v>
      </c>
      <c r="K59" s="32">
        <f t="shared" si="11"/>
        <v>23</v>
      </c>
      <c r="L59" s="44" t="str">
        <f t="shared" si="12"/>
        <v>Carico</v>
      </c>
      <c r="M59" s="35">
        <f t="shared" si="13"/>
        <v>1.34350064350064</v>
      </c>
      <c r="N59" s="35">
        <f t="shared" si="14"/>
        <v>7.101360544217691</v>
      </c>
      <c r="O59" s="35">
        <f t="shared" si="15"/>
        <v>16.12200772200772</v>
      </c>
      <c r="P59" s="35">
        <f t="shared" si="16"/>
        <v>29.46104982533554</v>
      </c>
      <c r="Q59" s="35">
        <f t="shared" si="17"/>
        <v>45.295164552307426</v>
      </c>
      <c r="R59" s="35">
        <f t="shared" si="18"/>
        <v>54.219847398418835</v>
      </c>
      <c r="S59" s="35">
        <f t="shared" si="19"/>
        <v>62.37681559110132</v>
      </c>
      <c r="T59" s="35">
        <f t="shared" si="20"/>
        <v>69.09431880860453</v>
      </c>
      <c r="U59" s="36">
        <f t="shared" si="21"/>
        <v>79.65039529325244</v>
      </c>
      <c r="V59" s="36"/>
      <c r="W59" s="36">
        <f t="shared" si="22"/>
        <v>79.5352380952381</v>
      </c>
      <c r="X59" s="36"/>
      <c r="Y59" s="47">
        <v>57</v>
      </c>
      <c r="Z59" s="46">
        <f>IF(AND(Y59&gt;M59,Y59&lt;=U59,Y59&lt;=W59),_XLL.SPLINE(M59:U59,C59:K59,Y59),0)</f>
        <v>15.823861953613546</v>
      </c>
      <c r="AA59" s="34">
        <f t="shared" si="1"/>
        <v>0</v>
      </c>
      <c r="AB59" s="35">
        <f t="shared" si="23"/>
        <v>6.035238095238096</v>
      </c>
    </row>
    <row r="60" spans="2:28" s="35" customFormat="1" ht="12.75">
      <c r="B60" s="44" t="str">
        <f t="shared" si="2"/>
        <v>Peso</v>
      </c>
      <c r="C60" s="35">
        <f t="shared" si="3"/>
        <v>0</v>
      </c>
      <c r="D60" s="35">
        <f t="shared" si="4"/>
        <v>3.78</v>
      </c>
      <c r="E60" s="35">
        <f t="shared" si="5"/>
        <v>6.91</v>
      </c>
      <c r="F60" s="35">
        <f t="shared" si="6"/>
        <v>10.03</v>
      </c>
      <c r="G60" s="35">
        <f t="shared" si="7"/>
        <v>13.16</v>
      </c>
      <c r="H60" s="35">
        <f t="shared" si="8"/>
        <v>15.17</v>
      </c>
      <c r="I60" s="35">
        <f t="shared" si="9"/>
        <v>17.18</v>
      </c>
      <c r="J60" s="35">
        <f t="shared" si="10"/>
        <v>19.2</v>
      </c>
      <c r="K60" s="32">
        <f t="shared" si="11"/>
        <v>23</v>
      </c>
      <c r="L60" s="44" t="str">
        <f t="shared" si="12"/>
        <v>Carico</v>
      </c>
      <c r="M60" s="35">
        <f t="shared" si="13"/>
        <v>1.34350064350064</v>
      </c>
      <c r="N60" s="35">
        <f t="shared" si="14"/>
        <v>7.101360544217691</v>
      </c>
      <c r="O60" s="35">
        <f t="shared" si="15"/>
        <v>16.12200772200772</v>
      </c>
      <c r="P60" s="35">
        <f t="shared" si="16"/>
        <v>29.46104982533554</v>
      </c>
      <c r="Q60" s="35">
        <f t="shared" si="17"/>
        <v>45.295164552307426</v>
      </c>
      <c r="R60" s="35">
        <f t="shared" si="18"/>
        <v>54.219847398418835</v>
      </c>
      <c r="S60" s="35">
        <f t="shared" si="19"/>
        <v>62.37681559110132</v>
      </c>
      <c r="T60" s="35">
        <f t="shared" si="20"/>
        <v>69.09431880860453</v>
      </c>
      <c r="U60" s="36">
        <f t="shared" si="21"/>
        <v>79.65039529325244</v>
      </c>
      <c r="V60" s="36"/>
      <c r="W60" s="36">
        <f t="shared" si="22"/>
        <v>79.5352380952381</v>
      </c>
      <c r="X60" s="36"/>
      <c r="Y60" s="47">
        <v>58</v>
      </c>
      <c r="Z60" s="46">
        <f>IF(AND(Y60&gt;M60,Y60&lt;=U60,Y60&lt;=W60),_XLL.SPLINE(M60:U60,C60:K60,Y60),0)</f>
        <v>16.064040674785883</v>
      </c>
      <c r="AA60" s="34">
        <f t="shared" si="1"/>
        <v>0</v>
      </c>
      <c r="AB60" s="35">
        <f t="shared" si="23"/>
        <v>6.035238095238096</v>
      </c>
    </row>
    <row r="61" spans="2:28" s="35" customFormat="1" ht="12.75">
      <c r="B61" s="44" t="str">
        <f t="shared" si="2"/>
        <v>Peso</v>
      </c>
      <c r="C61" s="35">
        <f t="shared" si="3"/>
        <v>0</v>
      </c>
      <c r="D61" s="35">
        <f t="shared" si="4"/>
        <v>3.78</v>
      </c>
      <c r="E61" s="35">
        <f t="shared" si="5"/>
        <v>6.91</v>
      </c>
      <c r="F61" s="35">
        <f t="shared" si="6"/>
        <v>10.03</v>
      </c>
      <c r="G61" s="35">
        <f t="shared" si="7"/>
        <v>13.16</v>
      </c>
      <c r="H61" s="35">
        <f t="shared" si="8"/>
        <v>15.17</v>
      </c>
      <c r="I61" s="35">
        <f t="shared" si="9"/>
        <v>17.18</v>
      </c>
      <c r="J61" s="35">
        <f t="shared" si="10"/>
        <v>19.2</v>
      </c>
      <c r="K61" s="32">
        <f t="shared" si="11"/>
        <v>23</v>
      </c>
      <c r="L61" s="44" t="str">
        <f t="shared" si="12"/>
        <v>Carico</v>
      </c>
      <c r="M61" s="35">
        <f t="shared" si="13"/>
        <v>1.34350064350064</v>
      </c>
      <c r="N61" s="35">
        <f t="shared" si="14"/>
        <v>7.101360544217691</v>
      </c>
      <c r="O61" s="35">
        <f t="shared" si="15"/>
        <v>16.12200772200772</v>
      </c>
      <c r="P61" s="35">
        <f t="shared" si="16"/>
        <v>29.46104982533554</v>
      </c>
      <c r="Q61" s="35">
        <f t="shared" si="17"/>
        <v>45.295164552307426</v>
      </c>
      <c r="R61" s="35">
        <f t="shared" si="18"/>
        <v>54.219847398418835</v>
      </c>
      <c r="S61" s="35">
        <f t="shared" si="19"/>
        <v>62.37681559110132</v>
      </c>
      <c r="T61" s="35">
        <f t="shared" si="20"/>
        <v>69.09431880860453</v>
      </c>
      <c r="U61" s="36">
        <f t="shared" si="21"/>
        <v>79.65039529325244</v>
      </c>
      <c r="V61" s="36"/>
      <c r="W61" s="36">
        <f t="shared" si="22"/>
        <v>79.5352380952381</v>
      </c>
      <c r="X61" s="36"/>
      <c r="Y61" s="47">
        <v>59</v>
      </c>
      <c r="Z61" s="46">
        <f>IF(AND(Y61&gt;M61,Y61&lt;=U61,Y61&lt;=W61),_XLL.SPLINE(M61:U61,C61:K61,Y61),0)</f>
        <v>16.308536576944967</v>
      </c>
      <c r="AA61" s="34">
        <f t="shared" si="1"/>
        <v>0</v>
      </c>
      <c r="AB61" s="35">
        <f t="shared" si="23"/>
        <v>6.035238095238096</v>
      </c>
    </row>
    <row r="62" spans="2:28" s="35" customFormat="1" ht="12.75">
      <c r="B62" s="44" t="str">
        <f t="shared" si="2"/>
        <v>Peso</v>
      </c>
      <c r="C62" s="35">
        <f t="shared" si="3"/>
        <v>0</v>
      </c>
      <c r="D62" s="35">
        <f t="shared" si="4"/>
        <v>3.78</v>
      </c>
      <c r="E62" s="35">
        <f t="shared" si="5"/>
        <v>6.91</v>
      </c>
      <c r="F62" s="35">
        <f t="shared" si="6"/>
        <v>10.03</v>
      </c>
      <c r="G62" s="35">
        <f t="shared" si="7"/>
        <v>13.16</v>
      </c>
      <c r="H62" s="35">
        <f t="shared" si="8"/>
        <v>15.17</v>
      </c>
      <c r="I62" s="35">
        <f t="shared" si="9"/>
        <v>17.18</v>
      </c>
      <c r="J62" s="35">
        <f t="shared" si="10"/>
        <v>19.2</v>
      </c>
      <c r="K62" s="32">
        <f t="shared" si="11"/>
        <v>23</v>
      </c>
      <c r="L62" s="44" t="str">
        <f t="shared" si="12"/>
        <v>Carico</v>
      </c>
      <c r="M62" s="35">
        <f t="shared" si="13"/>
        <v>1.34350064350064</v>
      </c>
      <c r="N62" s="35">
        <f t="shared" si="14"/>
        <v>7.101360544217691</v>
      </c>
      <c r="O62" s="35">
        <f t="shared" si="15"/>
        <v>16.12200772200772</v>
      </c>
      <c r="P62" s="35">
        <f t="shared" si="16"/>
        <v>29.46104982533554</v>
      </c>
      <c r="Q62" s="35">
        <f t="shared" si="17"/>
        <v>45.295164552307426</v>
      </c>
      <c r="R62" s="35">
        <f t="shared" si="18"/>
        <v>54.219847398418835</v>
      </c>
      <c r="S62" s="35">
        <f t="shared" si="19"/>
        <v>62.37681559110132</v>
      </c>
      <c r="T62" s="35">
        <f t="shared" si="20"/>
        <v>69.09431880860453</v>
      </c>
      <c r="U62" s="36">
        <f t="shared" si="21"/>
        <v>79.65039529325244</v>
      </c>
      <c r="V62" s="36"/>
      <c r="W62" s="36">
        <f t="shared" si="22"/>
        <v>79.5352380952381</v>
      </c>
      <c r="X62" s="36"/>
      <c r="Y62" s="47">
        <v>60</v>
      </c>
      <c r="Z62" s="46">
        <f>IF(AND(Y62&gt;M62,Y62&lt;=U62,Y62&lt;=W62),_XLL.SPLINE(M62:U62,C62:K62,Y62),0)</f>
        <v>16.558402354032307</v>
      </c>
      <c r="AA62" s="34">
        <f t="shared" si="1"/>
        <v>0</v>
      </c>
      <c r="AB62" s="35">
        <f t="shared" si="23"/>
        <v>6.035238095238096</v>
      </c>
    </row>
    <row r="63" spans="2:28" s="35" customFormat="1" ht="12.75">
      <c r="B63" s="44" t="str">
        <f t="shared" si="2"/>
        <v>Peso</v>
      </c>
      <c r="C63" s="35">
        <f t="shared" si="3"/>
        <v>0</v>
      </c>
      <c r="D63" s="35">
        <f t="shared" si="4"/>
        <v>3.78</v>
      </c>
      <c r="E63" s="35">
        <f t="shared" si="5"/>
        <v>6.91</v>
      </c>
      <c r="F63" s="35">
        <f t="shared" si="6"/>
        <v>10.03</v>
      </c>
      <c r="G63" s="35">
        <f t="shared" si="7"/>
        <v>13.16</v>
      </c>
      <c r="H63" s="35">
        <f t="shared" si="8"/>
        <v>15.17</v>
      </c>
      <c r="I63" s="35">
        <f t="shared" si="9"/>
        <v>17.18</v>
      </c>
      <c r="J63" s="35">
        <f t="shared" si="10"/>
        <v>19.2</v>
      </c>
      <c r="K63" s="32">
        <f t="shared" si="11"/>
        <v>23</v>
      </c>
      <c r="L63" s="44" t="str">
        <f t="shared" si="12"/>
        <v>Carico</v>
      </c>
      <c r="M63" s="35">
        <f t="shared" si="13"/>
        <v>1.34350064350064</v>
      </c>
      <c r="N63" s="35">
        <f t="shared" si="14"/>
        <v>7.101360544217691</v>
      </c>
      <c r="O63" s="35">
        <f t="shared" si="15"/>
        <v>16.12200772200772</v>
      </c>
      <c r="P63" s="35">
        <f t="shared" si="16"/>
        <v>29.46104982533554</v>
      </c>
      <c r="Q63" s="35">
        <f t="shared" si="17"/>
        <v>45.295164552307426</v>
      </c>
      <c r="R63" s="35">
        <f t="shared" si="18"/>
        <v>54.219847398418835</v>
      </c>
      <c r="S63" s="35">
        <f t="shared" si="19"/>
        <v>62.37681559110132</v>
      </c>
      <c r="T63" s="35">
        <f t="shared" si="20"/>
        <v>69.09431880860453</v>
      </c>
      <c r="U63" s="36">
        <f t="shared" si="21"/>
        <v>79.65039529325244</v>
      </c>
      <c r="V63" s="36"/>
      <c r="W63" s="36">
        <f t="shared" si="22"/>
        <v>79.5352380952381</v>
      </c>
      <c r="X63" s="36"/>
      <c r="Y63" s="47">
        <v>61</v>
      </c>
      <c r="Z63" s="46">
        <f>IF(AND(Y63&gt;M63,Y63&lt;=U63,Y63&lt;=W63),_XLL.SPLINE(M63:U63,C63:K63,Y63),0)</f>
        <v>16.814690699989388</v>
      </c>
      <c r="AA63" s="34">
        <f t="shared" si="1"/>
        <v>0</v>
      </c>
      <c r="AB63" s="35">
        <f t="shared" si="23"/>
        <v>6.035238095238096</v>
      </c>
    </row>
    <row r="64" spans="2:28" s="35" customFormat="1" ht="12.75">
      <c r="B64" s="44" t="str">
        <f t="shared" si="2"/>
        <v>Peso</v>
      </c>
      <c r="C64" s="35">
        <f t="shared" si="3"/>
        <v>0</v>
      </c>
      <c r="D64" s="35">
        <f t="shared" si="4"/>
        <v>3.78</v>
      </c>
      <c r="E64" s="35">
        <f t="shared" si="5"/>
        <v>6.91</v>
      </c>
      <c r="F64" s="35">
        <f t="shared" si="6"/>
        <v>10.03</v>
      </c>
      <c r="G64" s="35">
        <f t="shared" si="7"/>
        <v>13.16</v>
      </c>
      <c r="H64" s="35">
        <f t="shared" si="8"/>
        <v>15.17</v>
      </c>
      <c r="I64" s="35">
        <f t="shared" si="9"/>
        <v>17.18</v>
      </c>
      <c r="J64" s="35">
        <f t="shared" si="10"/>
        <v>19.2</v>
      </c>
      <c r="K64" s="32">
        <f t="shared" si="11"/>
        <v>23</v>
      </c>
      <c r="L64" s="44" t="str">
        <f t="shared" si="12"/>
        <v>Carico</v>
      </c>
      <c r="M64" s="35">
        <f t="shared" si="13"/>
        <v>1.34350064350064</v>
      </c>
      <c r="N64" s="35">
        <f t="shared" si="14"/>
        <v>7.101360544217691</v>
      </c>
      <c r="O64" s="35">
        <f t="shared" si="15"/>
        <v>16.12200772200772</v>
      </c>
      <c r="P64" s="35">
        <f t="shared" si="16"/>
        <v>29.46104982533554</v>
      </c>
      <c r="Q64" s="35">
        <f t="shared" si="17"/>
        <v>45.295164552307426</v>
      </c>
      <c r="R64" s="35">
        <f t="shared" si="18"/>
        <v>54.219847398418835</v>
      </c>
      <c r="S64" s="35">
        <f t="shared" si="19"/>
        <v>62.37681559110132</v>
      </c>
      <c r="T64" s="35">
        <f t="shared" si="20"/>
        <v>69.09431880860453</v>
      </c>
      <c r="U64" s="36">
        <f t="shared" si="21"/>
        <v>79.65039529325244</v>
      </c>
      <c r="V64" s="36"/>
      <c r="W64" s="36">
        <f t="shared" si="22"/>
        <v>79.5352380952381</v>
      </c>
      <c r="X64" s="36"/>
      <c r="Y64" s="47">
        <v>62</v>
      </c>
      <c r="Z64" s="46">
        <f>IF(AND(Y64&gt;M64,Y64&lt;=U64,Y64&lt;=W64),_XLL.SPLINE(M64:U64,C64:K64,Y64),0)</f>
        <v>17.07845430875772</v>
      </c>
      <c r="AA64" s="34">
        <f t="shared" si="1"/>
        <v>0</v>
      </c>
      <c r="AB64" s="35">
        <f t="shared" si="23"/>
        <v>6.035238095238096</v>
      </c>
    </row>
    <row r="65" spans="2:28" s="35" customFormat="1" ht="12.75">
      <c r="B65" s="44" t="str">
        <f t="shared" si="2"/>
        <v>Peso</v>
      </c>
      <c r="C65" s="35">
        <f t="shared" si="3"/>
        <v>0</v>
      </c>
      <c r="D65" s="35">
        <f t="shared" si="4"/>
        <v>3.78</v>
      </c>
      <c r="E65" s="35">
        <f t="shared" si="5"/>
        <v>6.91</v>
      </c>
      <c r="F65" s="35">
        <f t="shared" si="6"/>
        <v>10.03</v>
      </c>
      <c r="G65" s="35">
        <f t="shared" si="7"/>
        <v>13.16</v>
      </c>
      <c r="H65" s="35">
        <f t="shared" si="8"/>
        <v>15.17</v>
      </c>
      <c r="I65" s="35">
        <f t="shared" si="9"/>
        <v>17.18</v>
      </c>
      <c r="J65" s="35">
        <f t="shared" si="10"/>
        <v>19.2</v>
      </c>
      <c r="K65" s="32">
        <f t="shared" si="11"/>
        <v>23</v>
      </c>
      <c r="L65" s="44" t="str">
        <f t="shared" si="12"/>
        <v>Carico</v>
      </c>
      <c r="M65" s="35">
        <f t="shared" si="13"/>
        <v>1.34350064350064</v>
      </c>
      <c r="N65" s="35">
        <f t="shared" si="14"/>
        <v>7.101360544217691</v>
      </c>
      <c r="O65" s="35">
        <f t="shared" si="15"/>
        <v>16.12200772200772</v>
      </c>
      <c r="P65" s="35">
        <f t="shared" si="16"/>
        <v>29.46104982533554</v>
      </c>
      <c r="Q65" s="35">
        <f t="shared" si="17"/>
        <v>45.295164552307426</v>
      </c>
      <c r="R65" s="35">
        <f t="shared" si="18"/>
        <v>54.219847398418835</v>
      </c>
      <c r="S65" s="35">
        <f t="shared" si="19"/>
        <v>62.37681559110132</v>
      </c>
      <c r="T65" s="35">
        <f t="shared" si="20"/>
        <v>69.09431880860453</v>
      </c>
      <c r="U65" s="36">
        <f t="shared" si="21"/>
        <v>79.65039529325244</v>
      </c>
      <c r="V65" s="36"/>
      <c r="W65" s="36">
        <f t="shared" si="22"/>
        <v>79.5352380952381</v>
      </c>
      <c r="X65" s="36"/>
      <c r="Y65" s="47">
        <v>63</v>
      </c>
      <c r="Z65" s="46">
        <f>IF(AND(Y65&gt;M65,Y65&lt;=U65,Y65&lt;=W65),_XLL.SPLINE(M65:U65,C65:K65,Y65),0)</f>
        <v>17.350701218736265</v>
      </c>
      <c r="AA65" s="34">
        <f t="shared" si="1"/>
        <v>0</v>
      </c>
      <c r="AB65" s="35">
        <f t="shared" si="23"/>
        <v>6.035238095238096</v>
      </c>
    </row>
    <row r="66" spans="2:28" s="35" customFormat="1" ht="12.75">
      <c r="B66" s="44" t="str">
        <f t="shared" si="2"/>
        <v>Peso</v>
      </c>
      <c r="C66" s="35">
        <f t="shared" si="3"/>
        <v>0</v>
      </c>
      <c r="D66" s="35">
        <f t="shared" si="4"/>
        <v>3.78</v>
      </c>
      <c r="E66" s="35">
        <f t="shared" si="5"/>
        <v>6.91</v>
      </c>
      <c r="F66" s="35">
        <f t="shared" si="6"/>
        <v>10.03</v>
      </c>
      <c r="G66" s="35">
        <f t="shared" si="7"/>
        <v>13.16</v>
      </c>
      <c r="H66" s="35">
        <f t="shared" si="8"/>
        <v>15.17</v>
      </c>
      <c r="I66" s="35">
        <f t="shared" si="9"/>
        <v>17.18</v>
      </c>
      <c r="J66" s="35">
        <f t="shared" si="10"/>
        <v>19.2</v>
      </c>
      <c r="K66" s="32">
        <f t="shared" si="11"/>
        <v>23</v>
      </c>
      <c r="L66" s="44" t="str">
        <f t="shared" si="12"/>
        <v>Carico</v>
      </c>
      <c r="M66" s="35">
        <f t="shared" si="13"/>
        <v>1.34350064350064</v>
      </c>
      <c r="N66" s="35">
        <f t="shared" si="14"/>
        <v>7.101360544217691</v>
      </c>
      <c r="O66" s="35">
        <f t="shared" si="15"/>
        <v>16.12200772200772</v>
      </c>
      <c r="P66" s="35">
        <f t="shared" si="16"/>
        <v>29.46104982533554</v>
      </c>
      <c r="Q66" s="35">
        <f t="shared" si="17"/>
        <v>45.295164552307426</v>
      </c>
      <c r="R66" s="35">
        <f t="shared" si="18"/>
        <v>54.219847398418835</v>
      </c>
      <c r="S66" s="35">
        <f t="shared" si="19"/>
        <v>62.37681559110132</v>
      </c>
      <c r="T66" s="35">
        <f t="shared" si="20"/>
        <v>69.09431880860453</v>
      </c>
      <c r="U66" s="36">
        <f t="shared" si="21"/>
        <v>79.65039529325244</v>
      </c>
      <c r="V66" s="36"/>
      <c r="W66" s="36">
        <f t="shared" si="22"/>
        <v>79.5352380952381</v>
      </c>
      <c r="X66" s="36"/>
      <c r="Y66" s="47">
        <v>64</v>
      </c>
      <c r="Z66" s="46">
        <f>IF(AND(Y66&gt;M66,Y66&lt;=U66,Y66&lt;=W66),_XLL.SPLINE(M66:U66,C66:K66,Y66),0)</f>
        <v>17.63182899562513</v>
      </c>
      <c r="AA66" s="34">
        <f t="shared" si="1"/>
        <v>0</v>
      </c>
      <c r="AB66" s="35">
        <f t="shared" si="23"/>
        <v>6.035238095238096</v>
      </c>
    </row>
    <row r="67" spans="2:28" s="35" customFormat="1" ht="12.75">
      <c r="B67" s="44" t="str">
        <f t="shared" si="2"/>
        <v>Peso</v>
      </c>
      <c r="C67" s="35">
        <f t="shared" si="3"/>
        <v>0</v>
      </c>
      <c r="D67" s="35">
        <f t="shared" si="4"/>
        <v>3.78</v>
      </c>
      <c r="E67" s="35">
        <f t="shared" si="5"/>
        <v>6.91</v>
      </c>
      <c r="F67" s="35">
        <f t="shared" si="6"/>
        <v>10.03</v>
      </c>
      <c r="G67" s="35">
        <f t="shared" si="7"/>
        <v>13.16</v>
      </c>
      <c r="H67" s="35">
        <f t="shared" si="8"/>
        <v>15.17</v>
      </c>
      <c r="I67" s="35">
        <f t="shared" si="9"/>
        <v>17.18</v>
      </c>
      <c r="J67" s="35">
        <f t="shared" si="10"/>
        <v>19.2</v>
      </c>
      <c r="K67" s="32">
        <f t="shared" si="11"/>
        <v>23</v>
      </c>
      <c r="L67" s="44" t="str">
        <f t="shared" si="12"/>
        <v>Carico</v>
      </c>
      <c r="M67" s="35">
        <f t="shared" si="13"/>
        <v>1.34350064350064</v>
      </c>
      <c r="N67" s="35">
        <f t="shared" si="14"/>
        <v>7.101360544217691</v>
      </c>
      <c r="O67" s="35">
        <f t="shared" si="15"/>
        <v>16.12200772200772</v>
      </c>
      <c r="P67" s="35">
        <f t="shared" si="16"/>
        <v>29.46104982533554</v>
      </c>
      <c r="Q67" s="35">
        <f t="shared" si="17"/>
        <v>45.295164552307426</v>
      </c>
      <c r="R67" s="35">
        <f t="shared" si="18"/>
        <v>54.219847398418835</v>
      </c>
      <c r="S67" s="35">
        <f t="shared" si="19"/>
        <v>62.37681559110132</v>
      </c>
      <c r="T67" s="35">
        <f t="shared" si="20"/>
        <v>69.09431880860453</v>
      </c>
      <c r="U67" s="36">
        <f t="shared" si="21"/>
        <v>79.65039529325244</v>
      </c>
      <c r="V67" s="36"/>
      <c r="W67" s="36">
        <f t="shared" si="22"/>
        <v>79.5352380952381</v>
      </c>
      <c r="X67" s="36"/>
      <c r="Y67" s="47">
        <v>65</v>
      </c>
      <c r="Z67" s="46">
        <f>IF(AND(Y67&gt;M67,Y67&lt;=U67,Y67&lt;=W67),_XLL.SPLINE(M67:U67,C67:K67,Y67),0)</f>
        <v>17.921793130938138</v>
      </c>
      <c r="AA67" s="34">
        <f aca="true" t="shared" si="24" ref="AA67:AA130">IF(Y67&lt;AB67,Z67,0)</f>
        <v>0</v>
      </c>
      <c r="AB67" s="35">
        <f t="shared" si="23"/>
        <v>6.035238095238096</v>
      </c>
    </row>
    <row r="68" spans="2:28" s="35" customFormat="1" ht="12.75">
      <c r="B68" s="44" t="str">
        <f aca="true" t="shared" si="25" ref="B68:B131">B67</f>
        <v>Peso</v>
      </c>
      <c r="C68" s="35">
        <f aca="true" t="shared" si="26" ref="C68:C131">C67</f>
        <v>0</v>
      </c>
      <c r="D68" s="35">
        <f aca="true" t="shared" si="27" ref="D68:D131">D67</f>
        <v>3.78</v>
      </c>
      <c r="E68" s="35">
        <f aca="true" t="shared" si="28" ref="E68:E131">E67</f>
        <v>6.91</v>
      </c>
      <c r="F68" s="35">
        <f aca="true" t="shared" si="29" ref="F68:F131">F67</f>
        <v>10.03</v>
      </c>
      <c r="G68" s="35">
        <f aca="true" t="shared" si="30" ref="G68:G131">G67</f>
        <v>13.16</v>
      </c>
      <c r="H68" s="35">
        <f aca="true" t="shared" si="31" ref="H68:H131">H67</f>
        <v>15.17</v>
      </c>
      <c r="I68" s="35">
        <f aca="true" t="shared" si="32" ref="I68:I131">I67</f>
        <v>17.18</v>
      </c>
      <c r="J68" s="35">
        <f aca="true" t="shared" si="33" ref="J68:J131">J67</f>
        <v>19.2</v>
      </c>
      <c r="K68" s="32">
        <f aca="true" t="shared" si="34" ref="K68:K131">K67</f>
        <v>23</v>
      </c>
      <c r="L68" s="44" t="str">
        <f aca="true" t="shared" si="35" ref="L68:L131">L67</f>
        <v>Carico</v>
      </c>
      <c r="M68" s="35">
        <f aca="true" t="shared" si="36" ref="M68:M131">M67</f>
        <v>1.34350064350064</v>
      </c>
      <c r="N68" s="35">
        <f aca="true" t="shared" si="37" ref="N68:N131">N67</f>
        <v>7.101360544217691</v>
      </c>
      <c r="O68" s="35">
        <f aca="true" t="shared" si="38" ref="O68:O131">O67</f>
        <v>16.12200772200772</v>
      </c>
      <c r="P68" s="35">
        <f aca="true" t="shared" si="39" ref="P68:P131">P67</f>
        <v>29.46104982533554</v>
      </c>
      <c r="Q68" s="35">
        <f aca="true" t="shared" si="40" ref="Q68:Q131">Q67</f>
        <v>45.295164552307426</v>
      </c>
      <c r="R68" s="35">
        <f aca="true" t="shared" si="41" ref="R68:R131">R67</f>
        <v>54.219847398418835</v>
      </c>
      <c r="S68" s="35">
        <f aca="true" t="shared" si="42" ref="S68:S131">S67</f>
        <v>62.37681559110132</v>
      </c>
      <c r="T68" s="35">
        <f aca="true" t="shared" si="43" ref="T68:T131">T67</f>
        <v>69.09431880860453</v>
      </c>
      <c r="U68" s="36">
        <f aca="true" t="shared" si="44" ref="U68:U131">U67</f>
        <v>79.65039529325244</v>
      </c>
      <c r="V68" s="36"/>
      <c r="W68" s="36">
        <f aca="true" t="shared" si="45" ref="W68:W131">W67</f>
        <v>79.5352380952381</v>
      </c>
      <c r="X68" s="36"/>
      <c r="Y68" s="47">
        <v>66</v>
      </c>
      <c r="Z68" s="46">
        <f>IF(AND(Y68&gt;M68,Y68&lt;=U68,Y68&lt;=W68),_XLL.SPLINE(M68:U68,C68:K68,Y68),0)</f>
        <v>18.220539244028245</v>
      </c>
      <c r="AA68" s="34">
        <f t="shared" si="24"/>
        <v>0</v>
      </c>
      <c r="AB68" s="35">
        <f aca="true" t="shared" si="46" ref="AB68:AB131">AB67</f>
        <v>6.035238095238096</v>
      </c>
    </row>
    <row r="69" spans="2:28" s="35" customFormat="1" ht="12.75">
      <c r="B69" s="44" t="str">
        <f t="shared" si="25"/>
        <v>Peso</v>
      </c>
      <c r="C69" s="35">
        <f t="shared" si="26"/>
        <v>0</v>
      </c>
      <c r="D69" s="35">
        <f t="shared" si="27"/>
        <v>3.78</v>
      </c>
      <c r="E69" s="35">
        <f t="shared" si="28"/>
        <v>6.91</v>
      </c>
      <c r="F69" s="35">
        <f t="shared" si="29"/>
        <v>10.03</v>
      </c>
      <c r="G69" s="35">
        <f t="shared" si="30"/>
        <v>13.16</v>
      </c>
      <c r="H69" s="35">
        <f t="shared" si="31"/>
        <v>15.17</v>
      </c>
      <c r="I69" s="35">
        <f t="shared" si="32"/>
        <v>17.18</v>
      </c>
      <c r="J69" s="35">
        <f t="shared" si="33"/>
        <v>19.2</v>
      </c>
      <c r="K69" s="32">
        <f t="shared" si="34"/>
        <v>23</v>
      </c>
      <c r="L69" s="44" t="str">
        <f t="shared" si="35"/>
        <v>Carico</v>
      </c>
      <c r="M69" s="35">
        <f t="shared" si="36"/>
        <v>1.34350064350064</v>
      </c>
      <c r="N69" s="35">
        <f t="shared" si="37"/>
        <v>7.101360544217691</v>
      </c>
      <c r="O69" s="35">
        <f t="shared" si="38"/>
        <v>16.12200772200772</v>
      </c>
      <c r="P69" s="35">
        <f t="shared" si="39"/>
        <v>29.46104982533554</v>
      </c>
      <c r="Q69" s="35">
        <f t="shared" si="40"/>
        <v>45.295164552307426</v>
      </c>
      <c r="R69" s="35">
        <f t="shared" si="41"/>
        <v>54.219847398418835</v>
      </c>
      <c r="S69" s="35">
        <f t="shared" si="42"/>
        <v>62.37681559110132</v>
      </c>
      <c r="T69" s="35">
        <f t="shared" si="43"/>
        <v>69.09431880860453</v>
      </c>
      <c r="U69" s="36">
        <f t="shared" si="44"/>
        <v>79.65039529325244</v>
      </c>
      <c r="V69" s="36"/>
      <c r="W69" s="36">
        <f t="shared" si="45"/>
        <v>79.5352380952381</v>
      </c>
      <c r="X69" s="36"/>
      <c r="Y69" s="47">
        <v>67</v>
      </c>
      <c r="Z69" s="46">
        <f>IF(AND(Y69&gt;M69,Y69&lt;=U69,Y69&lt;=W69),_XLL.SPLINE(M69:U69,C69:K69,Y69),0)</f>
        <v>18.528012954248414</v>
      </c>
      <c r="AA69" s="34">
        <f t="shared" si="24"/>
        <v>0</v>
      </c>
      <c r="AB69" s="35">
        <f t="shared" si="46"/>
        <v>6.035238095238096</v>
      </c>
    </row>
    <row r="70" spans="2:28" s="35" customFormat="1" ht="12.75">
      <c r="B70" s="44" t="str">
        <f t="shared" si="25"/>
        <v>Peso</v>
      </c>
      <c r="C70" s="35">
        <f t="shared" si="26"/>
        <v>0</v>
      </c>
      <c r="D70" s="35">
        <f t="shared" si="27"/>
        <v>3.78</v>
      </c>
      <c r="E70" s="35">
        <f t="shared" si="28"/>
        <v>6.91</v>
      </c>
      <c r="F70" s="35">
        <f t="shared" si="29"/>
        <v>10.03</v>
      </c>
      <c r="G70" s="35">
        <f t="shared" si="30"/>
        <v>13.16</v>
      </c>
      <c r="H70" s="35">
        <f t="shared" si="31"/>
        <v>15.17</v>
      </c>
      <c r="I70" s="35">
        <f t="shared" si="32"/>
        <v>17.18</v>
      </c>
      <c r="J70" s="35">
        <f t="shared" si="33"/>
        <v>19.2</v>
      </c>
      <c r="K70" s="32">
        <f t="shared" si="34"/>
        <v>23</v>
      </c>
      <c r="L70" s="44" t="str">
        <f t="shared" si="35"/>
        <v>Carico</v>
      </c>
      <c r="M70" s="35">
        <f t="shared" si="36"/>
        <v>1.34350064350064</v>
      </c>
      <c r="N70" s="35">
        <f t="shared" si="37"/>
        <v>7.101360544217691</v>
      </c>
      <c r="O70" s="35">
        <f t="shared" si="38"/>
        <v>16.12200772200772</v>
      </c>
      <c r="P70" s="35">
        <f t="shared" si="39"/>
        <v>29.46104982533554</v>
      </c>
      <c r="Q70" s="35">
        <f t="shared" si="40"/>
        <v>45.295164552307426</v>
      </c>
      <c r="R70" s="35">
        <f t="shared" si="41"/>
        <v>54.219847398418835</v>
      </c>
      <c r="S70" s="35">
        <f t="shared" si="42"/>
        <v>62.37681559110132</v>
      </c>
      <c r="T70" s="35">
        <f t="shared" si="43"/>
        <v>69.09431880860453</v>
      </c>
      <c r="U70" s="36">
        <f t="shared" si="44"/>
        <v>79.65039529325244</v>
      </c>
      <c r="V70" s="36"/>
      <c r="W70" s="36">
        <f t="shared" si="45"/>
        <v>79.5352380952381</v>
      </c>
      <c r="X70" s="36"/>
      <c r="Y70" s="47">
        <v>68</v>
      </c>
      <c r="Z70" s="46">
        <f>IF(AND(Y70&gt;M70,Y70&lt;=U70,Y70&lt;=W70),_XLL.SPLINE(M70:U70,C70:K70,Y70),0)</f>
        <v>18.844159880951604</v>
      </c>
      <c r="AA70" s="34">
        <f t="shared" si="24"/>
        <v>0</v>
      </c>
      <c r="AB70" s="35">
        <f t="shared" si="46"/>
        <v>6.035238095238096</v>
      </c>
    </row>
    <row r="71" spans="2:28" s="35" customFormat="1" ht="12.75">
      <c r="B71" s="44" t="str">
        <f t="shared" si="25"/>
        <v>Peso</v>
      </c>
      <c r="C71" s="35">
        <f t="shared" si="26"/>
        <v>0</v>
      </c>
      <c r="D71" s="35">
        <f t="shared" si="27"/>
        <v>3.78</v>
      </c>
      <c r="E71" s="35">
        <f t="shared" si="28"/>
        <v>6.91</v>
      </c>
      <c r="F71" s="35">
        <f t="shared" si="29"/>
        <v>10.03</v>
      </c>
      <c r="G71" s="35">
        <f t="shared" si="30"/>
        <v>13.16</v>
      </c>
      <c r="H71" s="35">
        <f t="shared" si="31"/>
        <v>15.17</v>
      </c>
      <c r="I71" s="35">
        <f t="shared" si="32"/>
        <v>17.18</v>
      </c>
      <c r="J71" s="35">
        <f t="shared" si="33"/>
        <v>19.2</v>
      </c>
      <c r="K71" s="32">
        <f t="shared" si="34"/>
        <v>23</v>
      </c>
      <c r="L71" s="44" t="str">
        <f t="shared" si="35"/>
        <v>Carico</v>
      </c>
      <c r="M71" s="35">
        <f t="shared" si="36"/>
        <v>1.34350064350064</v>
      </c>
      <c r="N71" s="35">
        <f t="shared" si="37"/>
        <v>7.101360544217691</v>
      </c>
      <c r="O71" s="35">
        <f t="shared" si="38"/>
        <v>16.12200772200772</v>
      </c>
      <c r="P71" s="35">
        <f t="shared" si="39"/>
        <v>29.46104982533554</v>
      </c>
      <c r="Q71" s="35">
        <f t="shared" si="40"/>
        <v>45.295164552307426</v>
      </c>
      <c r="R71" s="35">
        <f t="shared" si="41"/>
        <v>54.219847398418835</v>
      </c>
      <c r="S71" s="35">
        <f t="shared" si="42"/>
        <v>62.37681559110132</v>
      </c>
      <c r="T71" s="35">
        <f t="shared" si="43"/>
        <v>69.09431880860453</v>
      </c>
      <c r="U71" s="36">
        <f t="shared" si="44"/>
        <v>79.65039529325244</v>
      </c>
      <c r="V71" s="36"/>
      <c r="W71" s="36">
        <f t="shared" si="45"/>
        <v>79.5352380952381</v>
      </c>
      <c r="X71" s="36"/>
      <c r="Y71" s="47">
        <v>69</v>
      </c>
      <c r="Z71" s="46">
        <f>IF(AND(Y71&gt;M71,Y71&lt;=U71,Y71&lt;=W71),_XLL.SPLINE(M71:U71,C71:K71,Y71),0)</f>
        <v>19.168925643490777</v>
      </c>
      <c r="AA71" s="34">
        <f t="shared" si="24"/>
        <v>0</v>
      </c>
      <c r="AB71" s="35">
        <f t="shared" si="46"/>
        <v>6.035238095238096</v>
      </c>
    </row>
    <row r="72" spans="2:28" s="35" customFormat="1" ht="12.75">
      <c r="B72" s="44" t="str">
        <f t="shared" si="25"/>
        <v>Peso</v>
      </c>
      <c r="C72" s="35">
        <f t="shared" si="26"/>
        <v>0</v>
      </c>
      <c r="D72" s="35">
        <f t="shared" si="27"/>
        <v>3.78</v>
      </c>
      <c r="E72" s="35">
        <f t="shared" si="28"/>
        <v>6.91</v>
      </c>
      <c r="F72" s="35">
        <f t="shared" si="29"/>
        <v>10.03</v>
      </c>
      <c r="G72" s="35">
        <f t="shared" si="30"/>
        <v>13.16</v>
      </c>
      <c r="H72" s="35">
        <f t="shared" si="31"/>
        <v>15.17</v>
      </c>
      <c r="I72" s="35">
        <f t="shared" si="32"/>
        <v>17.18</v>
      </c>
      <c r="J72" s="35">
        <f t="shared" si="33"/>
        <v>19.2</v>
      </c>
      <c r="K72" s="32">
        <f t="shared" si="34"/>
        <v>23</v>
      </c>
      <c r="L72" s="44" t="str">
        <f t="shared" si="35"/>
        <v>Carico</v>
      </c>
      <c r="M72" s="35">
        <f t="shared" si="36"/>
        <v>1.34350064350064</v>
      </c>
      <c r="N72" s="35">
        <f t="shared" si="37"/>
        <v>7.101360544217691</v>
      </c>
      <c r="O72" s="35">
        <f t="shared" si="38"/>
        <v>16.12200772200772</v>
      </c>
      <c r="P72" s="35">
        <f t="shared" si="39"/>
        <v>29.46104982533554</v>
      </c>
      <c r="Q72" s="35">
        <f t="shared" si="40"/>
        <v>45.295164552307426</v>
      </c>
      <c r="R72" s="35">
        <f t="shared" si="41"/>
        <v>54.219847398418835</v>
      </c>
      <c r="S72" s="35">
        <f t="shared" si="42"/>
        <v>62.37681559110132</v>
      </c>
      <c r="T72" s="35">
        <f t="shared" si="43"/>
        <v>69.09431880860453</v>
      </c>
      <c r="U72" s="36">
        <f t="shared" si="44"/>
        <v>79.65039529325244</v>
      </c>
      <c r="V72" s="36"/>
      <c r="W72" s="36">
        <f t="shared" si="45"/>
        <v>79.5352380952381</v>
      </c>
      <c r="X72" s="36"/>
      <c r="Y72" s="47">
        <v>70</v>
      </c>
      <c r="Z72" s="46">
        <f>IF(AND(Y72&gt;M72,Y72&lt;=U72,Y72&lt;=W72),_XLL.SPLINE(M72:U72,C72:K72,Y72),0)</f>
        <v>19.50216219943919</v>
      </c>
      <c r="AA72" s="34">
        <f t="shared" si="24"/>
        <v>0</v>
      </c>
      <c r="AB72" s="35">
        <f t="shared" si="46"/>
        <v>6.035238095238096</v>
      </c>
    </row>
    <row r="73" spans="2:28" s="35" customFormat="1" ht="12.75">
      <c r="B73" s="44" t="str">
        <f t="shared" si="25"/>
        <v>Peso</v>
      </c>
      <c r="C73" s="35">
        <f t="shared" si="26"/>
        <v>0</v>
      </c>
      <c r="D73" s="35">
        <f t="shared" si="27"/>
        <v>3.78</v>
      </c>
      <c r="E73" s="35">
        <f t="shared" si="28"/>
        <v>6.91</v>
      </c>
      <c r="F73" s="35">
        <f t="shared" si="29"/>
        <v>10.03</v>
      </c>
      <c r="G73" s="35">
        <f t="shared" si="30"/>
        <v>13.16</v>
      </c>
      <c r="H73" s="35">
        <f t="shared" si="31"/>
        <v>15.17</v>
      </c>
      <c r="I73" s="35">
        <f t="shared" si="32"/>
        <v>17.18</v>
      </c>
      <c r="J73" s="35">
        <f t="shared" si="33"/>
        <v>19.2</v>
      </c>
      <c r="K73" s="32">
        <f t="shared" si="34"/>
        <v>23</v>
      </c>
      <c r="L73" s="44" t="str">
        <f t="shared" si="35"/>
        <v>Carico</v>
      </c>
      <c r="M73" s="35">
        <f t="shared" si="36"/>
        <v>1.34350064350064</v>
      </c>
      <c r="N73" s="35">
        <f t="shared" si="37"/>
        <v>7.101360544217691</v>
      </c>
      <c r="O73" s="35">
        <f t="shared" si="38"/>
        <v>16.12200772200772</v>
      </c>
      <c r="P73" s="35">
        <f t="shared" si="39"/>
        <v>29.46104982533554</v>
      </c>
      <c r="Q73" s="35">
        <f t="shared" si="40"/>
        <v>45.295164552307426</v>
      </c>
      <c r="R73" s="35">
        <f t="shared" si="41"/>
        <v>54.219847398418835</v>
      </c>
      <c r="S73" s="35">
        <f t="shared" si="42"/>
        <v>62.37681559110132</v>
      </c>
      <c r="T73" s="35">
        <f t="shared" si="43"/>
        <v>69.09431880860453</v>
      </c>
      <c r="U73" s="36">
        <f t="shared" si="44"/>
        <v>79.65039529325244</v>
      </c>
      <c r="V73" s="36"/>
      <c r="W73" s="36">
        <f t="shared" si="45"/>
        <v>79.5352380952381</v>
      </c>
      <c r="X73" s="36"/>
      <c r="Y73" s="47">
        <v>71</v>
      </c>
      <c r="Z73" s="46">
        <f>IF(AND(Y73&gt;M73,Y73&lt;=U73,Y73&lt;=W73),_XLL.SPLINE(M73:U73,C73:K73,Y73),0)</f>
        <v>19.843223609959004</v>
      </c>
      <c r="AA73" s="34">
        <f t="shared" si="24"/>
        <v>0</v>
      </c>
      <c r="AB73" s="35">
        <f t="shared" si="46"/>
        <v>6.035238095238096</v>
      </c>
    </row>
    <row r="74" spans="2:28" s="35" customFormat="1" ht="12.75">
      <c r="B74" s="44" t="str">
        <f t="shared" si="25"/>
        <v>Peso</v>
      </c>
      <c r="C74" s="35">
        <f t="shared" si="26"/>
        <v>0</v>
      </c>
      <c r="D74" s="35">
        <f t="shared" si="27"/>
        <v>3.78</v>
      </c>
      <c r="E74" s="35">
        <f t="shared" si="28"/>
        <v>6.91</v>
      </c>
      <c r="F74" s="35">
        <f t="shared" si="29"/>
        <v>10.03</v>
      </c>
      <c r="G74" s="35">
        <f t="shared" si="30"/>
        <v>13.16</v>
      </c>
      <c r="H74" s="35">
        <f t="shared" si="31"/>
        <v>15.17</v>
      </c>
      <c r="I74" s="35">
        <f t="shared" si="32"/>
        <v>17.18</v>
      </c>
      <c r="J74" s="35">
        <f t="shared" si="33"/>
        <v>19.2</v>
      </c>
      <c r="K74" s="32">
        <f t="shared" si="34"/>
        <v>23</v>
      </c>
      <c r="L74" s="44" t="str">
        <f t="shared" si="35"/>
        <v>Carico</v>
      </c>
      <c r="M74" s="35">
        <f t="shared" si="36"/>
        <v>1.34350064350064</v>
      </c>
      <c r="N74" s="35">
        <f t="shared" si="37"/>
        <v>7.101360544217691</v>
      </c>
      <c r="O74" s="35">
        <f t="shared" si="38"/>
        <v>16.12200772200772</v>
      </c>
      <c r="P74" s="35">
        <f t="shared" si="39"/>
        <v>29.46104982533554</v>
      </c>
      <c r="Q74" s="35">
        <f t="shared" si="40"/>
        <v>45.295164552307426</v>
      </c>
      <c r="R74" s="35">
        <f t="shared" si="41"/>
        <v>54.219847398418835</v>
      </c>
      <c r="S74" s="35">
        <f t="shared" si="42"/>
        <v>62.37681559110132</v>
      </c>
      <c r="T74" s="35">
        <f t="shared" si="43"/>
        <v>69.09431880860453</v>
      </c>
      <c r="U74" s="36">
        <f t="shared" si="44"/>
        <v>79.65039529325244</v>
      </c>
      <c r="V74" s="36"/>
      <c r="W74" s="36">
        <f t="shared" si="45"/>
        <v>79.5352380952381</v>
      </c>
      <c r="X74" s="36"/>
      <c r="Y74" s="47">
        <v>72</v>
      </c>
      <c r="Z74" s="46">
        <f>IF(AND(Y74&gt;M74,Y74&lt;=U74,Y74&lt;=W74),_XLL.SPLINE(M74:U74,C74:K74,Y74),0)</f>
        <v>20.191299137330525</v>
      </c>
      <c r="AA74" s="34">
        <f t="shared" si="24"/>
        <v>0</v>
      </c>
      <c r="AB74" s="35">
        <f t="shared" si="46"/>
        <v>6.035238095238096</v>
      </c>
    </row>
    <row r="75" spans="2:28" s="35" customFormat="1" ht="12.75">
      <c r="B75" s="44" t="str">
        <f t="shared" si="25"/>
        <v>Peso</v>
      </c>
      <c r="C75" s="35">
        <f t="shared" si="26"/>
        <v>0</v>
      </c>
      <c r="D75" s="35">
        <f t="shared" si="27"/>
        <v>3.78</v>
      </c>
      <c r="E75" s="35">
        <f t="shared" si="28"/>
        <v>6.91</v>
      </c>
      <c r="F75" s="35">
        <f t="shared" si="29"/>
        <v>10.03</v>
      </c>
      <c r="G75" s="35">
        <f t="shared" si="30"/>
        <v>13.16</v>
      </c>
      <c r="H75" s="35">
        <f t="shared" si="31"/>
        <v>15.17</v>
      </c>
      <c r="I75" s="35">
        <f t="shared" si="32"/>
        <v>17.18</v>
      </c>
      <c r="J75" s="35">
        <f t="shared" si="33"/>
        <v>19.2</v>
      </c>
      <c r="K75" s="32">
        <f t="shared" si="34"/>
        <v>23</v>
      </c>
      <c r="L75" s="44" t="str">
        <f t="shared" si="35"/>
        <v>Carico</v>
      </c>
      <c r="M75" s="35">
        <f t="shared" si="36"/>
        <v>1.34350064350064</v>
      </c>
      <c r="N75" s="35">
        <f t="shared" si="37"/>
        <v>7.101360544217691</v>
      </c>
      <c r="O75" s="35">
        <f t="shared" si="38"/>
        <v>16.12200772200772</v>
      </c>
      <c r="P75" s="35">
        <f t="shared" si="39"/>
        <v>29.46104982533554</v>
      </c>
      <c r="Q75" s="35">
        <f t="shared" si="40"/>
        <v>45.295164552307426</v>
      </c>
      <c r="R75" s="35">
        <f t="shared" si="41"/>
        <v>54.219847398418835</v>
      </c>
      <c r="S75" s="35">
        <f t="shared" si="42"/>
        <v>62.37681559110132</v>
      </c>
      <c r="T75" s="35">
        <f t="shared" si="43"/>
        <v>69.09431880860453</v>
      </c>
      <c r="U75" s="36">
        <f t="shared" si="44"/>
        <v>79.65039529325244</v>
      </c>
      <c r="V75" s="36"/>
      <c r="W75" s="36">
        <f t="shared" si="45"/>
        <v>79.5352380952381</v>
      </c>
      <c r="X75" s="36"/>
      <c r="Y75" s="47">
        <v>73</v>
      </c>
      <c r="Z75" s="46">
        <f>IF(AND(Y75&gt;M75,Y75&lt;=U75,Y75&lt;=W75),_XLL.SPLINE(M75:U75,C75:K75,Y75),0)</f>
        <v>20.545577938047302</v>
      </c>
      <c r="AA75" s="34">
        <f t="shared" si="24"/>
        <v>0</v>
      </c>
      <c r="AB75" s="35">
        <f t="shared" si="46"/>
        <v>6.035238095238096</v>
      </c>
    </row>
    <row r="76" spans="2:28" s="35" customFormat="1" ht="12.75">
      <c r="B76" s="44" t="str">
        <f t="shared" si="25"/>
        <v>Peso</v>
      </c>
      <c r="C76" s="35">
        <f t="shared" si="26"/>
        <v>0</v>
      </c>
      <c r="D76" s="35">
        <f t="shared" si="27"/>
        <v>3.78</v>
      </c>
      <c r="E76" s="35">
        <f t="shared" si="28"/>
        <v>6.91</v>
      </c>
      <c r="F76" s="35">
        <f t="shared" si="29"/>
        <v>10.03</v>
      </c>
      <c r="G76" s="35">
        <f t="shared" si="30"/>
        <v>13.16</v>
      </c>
      <c r="H76" s="35">
        <f t="shared" si="31"/>
        <v>15.17</v>
      </c>
      <c r="I76" s="35">
        <f t="shared" si="32"/>
        <v>17.18</v>
      </c>
      <c r="J76" s="35">
        <f t="shared" si="33"/>
        <v>19.2</v>
      </c>
      <c r="K76" s="32">
        <f t="shared" si="34"/>
        <v>23</v>
      </c>
      <c r="L76" s="44" t="str">
        <f t="shared" si="35"/>
        <v>Carico</v>
      </c>
      <c r="M76" s="35">
        <f t="shared" si="36"/>
        <v>1.34350064350064</v>
      </c>
      <c r="N76" s="35">
        <f t="shared" si="37"/>
        <v>7.101360544217691</v>
      </c>
      <c r="O76" s="35">
        <f t="shared" si="38"/>
        <v>16.12200772200772</v>
      </c>
      <c r="P76" s="35">
        <f t="shared" si="39"/>
        <v>29.46104982533554</v>
      </c>
      <c r="Q76" s="35">
        <f t="shared" si="40"/>
        <v>45.295164552307426</v>
      </c>
      <c r="R76" s="35">
        <f t="shared" si="41"/>
        <v>54.219847398418835</v>
      </c>
      <c r="S76" s="35">
        <f t="shared" si="42"/>
        <v>62.37681559110132</v>
      </c>
      <c r="T76" s="35">
        <f t="shared" si="43"/>
        <v>69.09431880860453</v>
      </c>
      <c r="U76" s="36">
        <f t="shared" si="44"/>
        <v>79.65039529325244</v>
      </c>
      <c r="V76" s="36"/>
      <c r="W76" s="36">
        <f t="shared" si="45"/>
        <v>79.5352380952381</v>
      </c>
      <c r="X76" s="36"/>
      <c r="Y76" s="47">
        <v>74</v>
      </c>
      <c r="Z76" s="46">
        <f>IF(AND(Y76&gt;M76,Y76&lt;=U76,Y76&lt;=W76),_XLL.SPLINE(M76:U76,C76:K76,Y76),0)</f>
        <v>20.905249168602904</v>
      </c>
      <c r="AA76" s="34">
        <f t="shared" si="24"/>
        <v>0</v>
      </c>
      <c r="AB76" s="35">
        <f t="shared" si="46"/>
        <v>6.035238095238096</v>
      </c>
    </row>
    <row r="77" spans="2:28" s="35" customFormat="1" ht="12.75">
      <c r="B77" s="44" t="str">
        <f t="shared" si="25"/>
        <v>Peso</v>
      </c>
      <c r="C77" s="35">
        <f t="shared" si="26"/>
        <v>0</v>
      </c>
      <c r="D77" s="35">
        <f t="shared" si="27"/>
        <v>3.78</v>
      </c>
      <c r="E77" s="35">
        <f t="shared" si="28"/>
        <v>6.91</v>
      </c>
      <c r="F77" s="35">
        <f t="shared" si="29"/>
        <v>10.03</v>
      </c>
      <c r="G77" s="35">
        <f t="shared" si="30"/>
        <v>13.16</v>
      </c>
      <c r="H77" s="35">
        <f t="shared" si="31"/>
        <v>15.17</v>
      </c>
      <c r="I77" s="35">
        <f t="shared" si="32"/>
        <v>17.18</v>
      </c>
      <c r="J77" s="35">
        <f t="shared" si="33"/>
        <v>19.2</v>
      </c>
      <c r="K77" s="32">
        <f t="shared" si="34"/>
        <v>23</v>
      </c>
      <c r="L77" s="44" t="str">
        <f t="shared" si="35"/>
        <v>Carico</v>
      </c>
      <c r="M77" s="35">
        <f t="shared" si="36"/>
        <v>1.34350064350064</v>
      </c>
      <c r="N77" s="35">
        <f t="shared" si="37"/>
        <v>7.101360544217691</v>
      </c>
      <c r="O77" s="35">
        <f t="shared" si="38"/>
        <v>16.12200772200772</v>
      </c>
      <c r="P77" s="35">
        <f t="shared" si="39"/>
        <v>29.46104982533554</v>
      </c>
      <c r="Q77" s="35">
        <f t="shared" si="40"/>
        <v>45.295164552307426</v>
      </c>
      <c r="R77" s="35">
        <f t="shared" si="41"/>
        <v>54.219847398418835</v>
      </c>
      <c r="S77" s="35">
        <f t="shared" si="42"/>
        <v>62.37681559110132</v>
      </c>
      <c r="T77" s="35">
        <f t="shared" si="43"/>
        <v>69.09431880860453</v>
      </c>
      <c r="U77" s="36">
        <f t="shared" si="44"/>
        <v>79.65039529325244</v>
      </c>
      <c r="V77" s="36"/>
      <c r="W77" s="36">
        <f t="shared" si="45"/>
        <v>79.5352380952381</v>
      </c>
      <c r="X77" s="36"/>
      <c r="Y77" s="47">
        <v>75</v>
      </c>
      <c r="Z77" s="46">
        <f>IF(AND(Y77&gt;M77,Y77&lt;=U77,Y77&lt;=W77),_XLL.SPLINE(M77:U77,C77:K77,Y77),0)</f>
        <v>21.269501985490876</v>
      </c>
      <c r="AA77" s="34">
        <f t="shared" si="24"/>
        <v>0</v>
      </c>
      <c r="AB77" s="35">
        <f t="shared" si="46"/>
        <v>6.035238095238096</v>
      </c>
    </row>
    <row r="78" spans="2:28" s="35" customFormat="1" ht="12.75">
      <c r="B78" s="44" t="str">
        <f t="shared" si="25"/>
        <v>Peso</v>
      </c>
      <c r="C78" s="35">
        <f t="shared" si="26"/>
        <v>0</v>
      </c>
      <c r="D78" s="35">
        <f t="shared" si="27"/>
        <v>3.78</v>
      </c>
      <c r="E78" s="35">
        <f t="shared" si="28"/>
        <v>6.91</v>
      </c>
      <c r="F78" s="35">
        <f t="shared" si="29"/>
        <v>10.03</v>
      </c>
      <c r="G78" s="35">
        <f t="shared" si="30"/>
        <v>13.16</v>
      </c>
      <c r="H78" s="35">
        <f t="shared" si="31"/>
        <v>15.17</v>
      </c>
      <c r="I78" s="35">
        <f t="shared" si="32"/>
        <v>17.18</v>
      </c>
      <c r="J78" s="35">
        <f t="shared" si="33"/>
        <v>19.2</v>
      </c>
      <c r="K78" s="32">
        <f t="shared" si="34"/>
        <v>23</v>
      </c>
      <c r="L78" s="44" t="str">
        <f t="shared" si="35"/>
        <v>Carico</v>
      </c>
      <c r="M78" s="35">
        <f t="shared" si="36"/>
        <v>1.34350064350064</v>
      </c>
      <c r="N78" s="35">
        <f t="shared" si="37"/>
        <v>7.101360544217691</v>
      </c>
      <c r="O78" s="35">
        <f t="shared" si="38"/>
        <v>16.12200772200772</v>
      </c>
      <c r="P78" s="35">
        <f t="shared" si="39"/>
        <v>29.46104982533554</v>
      </c>
      <c r="Q78" s="35">
        <f t="shared" si="40"/>
        <v>45.295164552307426</v>
      </c>
      <c r="R78" s="35">
        <f t="shared" si="41"/>
        <v>54.219847398418835</v>
      </c>
      <c r="S78" s="35">
        <f t="shared" si="42"/>
        <v>62.37681559110132</v>
      </c>
      <c r="T78" s="35">
        <f t="shared" si="43"/>
        <v>69.09431880860453</v>
      </c>
      <c r="U78" s="36">
        <f t="shared" si="44"/>
        <v>79.65039529325244</v>
      </c>
      <c r="V78" s="36"/>
      <c r="W78" s="36">
        <f t="shared" si="45"/>
        <v>79.5352380952381</v>
      </c>
      <c r="X78" s="36"/>
      <c r="Y78" s="47">
        <v>76</v>
      </c>
      <c r="Z78" s="46">
        <f>IF(AND(Y78&gt;M78,Y78&lt;=U78,Y78&lt;=W78),_XLL.SPLINE(M78:U78,C78:K78,Y78),0)</f>
        <v>21.63752554520478</v>
      </c>
      <c r="AA78" s="34">
        <f t="shared" si="24"/>
        <v>0</v>
      </c>
      <c r="AB78" s="35">
        <f t="shared" si="46"/>
        <v>6.035238095238096</v>
      </c>
    </row>
    <row r="79" spans="2:28" s="35" customFormat="1" ht="12.75">
      <c r="B79" s="44" t="str">
        <f t="shared" si="25"/>
        <v>Peso</v>
      </c>
      <c r="C79" s="35">
        <f t="shared" si="26"/>
        <v>0</v>
      </c>
      <c r="D79" s="35">
        <f t="shared" si="27"/>
        <v>3.78</v>
      </c>
      <c r="E79" s="35">
        <f t="shared" si="28"/>
        <v>6.91</v>
      </c>
      <c r="F79" s="35">
        <f t="shared" si="29"/>
        <v>10.03</v>
      </c>
      <c r="G79" s="35">
        <f t="shared" si="30"/>
        <v>13.16</v>
      </c>
      <c r="H79" s="35">
        <f t="shared" si="31"/>
        <v>15.17</v>
      </c>
      <c r="I79" s="35">
        <f t="shared" si="32"/>
        <v>17.18</v>
      </c>
      <c r="J79" s="35">
        <f t="shared" si="33"/>
        <v>19.2</v>
      </c>
      <c r="K79" s="32">
        <f t="shared" si="34"/>
        <v>23</v>
      </c>
      <c r="L79" s="44" t="str">
        <f t="shared" si="35"/>
        <v>Carico</v>
      </c>
      <c r="M79" s="35">
        <f t="shared" si="36"/>
        <v>1.34350064350064</v>
      </c>
      <c r="N79" s="35">
        <f t="shared" si="37"/>
        <v>7.101360544217691</v>
      </c>
      <c r="O79" s="35">
        <f t="shared" si="38"/>
        <v>16.12200772200772</v>
      </c>
      <c r="P79" s="35">
        <f t="shared" si="39"/>
        <v>29.46104982533554</v>
      </c>
      <c r="Q79" s="35">
        <f t="shared" si="40"/>
        <v>45.295164552307426</v>
      </c>
      <c r="R79" s="35">
        <f t="shared" si="41"/>
        <v>54.219847398418835</v>
      </c>
      <c r="S79" s="35">
        <f t="shared" si="42"/>
        <v>62.37681559110132</v>
      </c>
      <c r="T79" s="35">
        <f t="shared" si="43"/>
        <v>69.09431880860453</v>
      </c>
      <c r="U79" s="36">
        <f t="shared" si="44"/>
        <v>79.65039529325244</v>
      </c>
      <c r="V79" s="36"/>
      <c r="W79" s="36">
        <f t="shared" si="45"/>
        <v>79.5352380952381</v>
      </c>
      <c r="X79" s="36"/>
      <c r="Y79" s="47">
        <v>77</v>
      </c>
      <c r="Z79" s="46">
        <f>IF(AND(Y79&gt;M79,Y79&lt;=U79,Y79&lt;=W79),_XLL.SPLINE(M79:U79,C79:K79,Y79),0)</f>
        <v>22.008509004238174</v>
      </c>
      <c r="AA79" s="34">
        <f t="shared" si="24"/>
        <v>0</v>
      </c>
      <c r="AB79" s="35">
        <f t="shared" si="46"/>
        <v>6.035238095238096</v>
      </c>
    </row>
    <row r="80" spans="2:28" s="35" customFormat="1" ht="12.75">
      <c r="B80" s="44" t="str">
        <f t="shared" si="25"/>
        <v>Peso</v>
      </c>
      <c r="C80" s="35">
        <f t="shared" si="26"/>
        <v>0</v>
      </c>
      <c r="D80" s="35">
        <f t="shared" si="27"/>
        <v>3.78</v>
      </c>
      <c r="E80" s="35">
        <f t="shared" si="28"/>
        <v>6.91</v>
      </c>
      <c r="F80" s="35">
        <f t="shared" si="29"/>
        <v>10.03</v>
      </c>
      <c r="G80" s="35">
        <f t="shared" si="30"/>
        <v>13.16</v>
      </c>
      <c r="H80" s="35">
        <f t="shared" si="31"/>
        <v>15.17</v>
      </c>
      <c r="I80" s="35">
        <f t="shared" si="32"/>
        <v>17.18</v>
      </c>
      <c r="J80" s="35">
        <f t="shared" si="33"/>
        <v>19.2</v>
      </c>
      <c r="K80" s="32">
        <f t="shared" si="34"/>
        <v>23</v>
      </c>
      <c r="L80" s="44" t="str">
        <f t="shared" si="35"/>
        <v>Carico</v>
      </c>
      <c r="M80" s="35">
        <f t="shared" si="36"/>
        <v>1.34350064350064</v>
      </c>
      <c r="N80" s="35">
        <f t="shared" si="37"/>
        <v>7.101360544217691</v>
      </c>
      <c r="O80" s="35">
        <f t="shared" si="38"/>
        <v>16.12200772200772</v>
      </c>
      <c r="P80" s="35">
        <f t="shared" si="39"/>
        <v>29.46104982533554</v>
      </c>
      <c r="Q80" s="35">
        <f t="shared" si="40"/>
        <v>45.295164552307426</v>
      </c>
      <c r="R80" s="35">
        <f t="shared" si="41"/>
        <v>54.219847398418835</v>
      </c>
      <c r="S80" s="35">
        <f t="shared" si="42"/>
        <v>62.37681559110132</v>
      </c>
      <c r="T80" s="35">
        <f t="shared" si="43"/>
        <v>69.09431880860453</v>
      </c>
      <c r="U80" s="36">
        <f t="shared" si="44"/>
        <v>79.65039529325244</v>
      </c>
      <c r="V80" s="36"/>
      <c r="W80" s="36">
        <f t="shared" si="45"/>
        <v>79.5352380952381</v>
      </c>
      <c r="X80" s="36"/>
      <c r="Y80" s="47">
        <v>78</v>
      </c>
      <c r="Z80" s="46">
        <f>IF(AND(Y80&gt;M80,Y80&lt;=U80,Y80&lt;=W80),_XLL.SPLINE(M80:U80,C80:K80,Y80),0)</f>
        <v>22.381641519084607</v>
      </c>
      <c r="AA80" s="34">
        <f t="shared" si="24"/>
        <v>0</v>
      </c>
      <c r="AB80" s="35">
        <f t="shared" si="46"/>
        <v>6.035238095238096</v>
      </c>
    </row>
    <row r="81" spans="2:28" s="35" customFormat="1" ht="12.75">
      <c r="B81" s="44" t="str">
        <f t="shared" si="25"/>
        <v>Peso</v>
      </c>
      <c r="C81" s="35">
        <f t="shared" si="26"/>
        <v>0</v>
      </c>
      <c r="D81" s="35">
        <f t="shared" si="27"/>
        <v>3.78</v>
      </c>
      <c r="E81" s="35">
        <f t="shared" si="28"/>
        <v>6.91</v>
      </c>
      <c r="F81" s="35">
        <f t="shared" si="29"/>
        <v>10.03</v>
      </c>
      <c r="G81" s="35">
        <f t="shared" si="30"/>
        <v>13.16</v>
      </c>
      <c r="H81" s="35">
        <f t="shared" si="31"/>
        <v>15.17</v>
      </c>
      <c r="I81" s="35">
        <f t="shared" si="32"/>
        <v>17.18</v>
      </c>
      <c r="J81" s="35">
        <f t="shared" si="33"/>
        <v>19.2</v>
      </c>
      <c r="K81" s="32">
        <f t="shared" si="34"/>
        <v>23</v>
      </c>
      <c r="L81" s="44" t="str">
        <f t="shared" si="35"/>
        <v>Carico</v>
      </c>
      <c r="M81" s="35">
        <f t="shared" si="36"/>
        <v>1.34350064350064</v>
      </c>
      <c r="N81" s="35">
        <f t="shared" si="37"/>
        <v>7.101360544217691</v>
      </c>
      <c r="O81" s="35">
        <f t="shared" si="38"/>
        <v>16.12200772200772</v>
      </c>
      <c r="P81" s="35">
        <f t="shared" si="39"/>
        <v>29.46104982533554</v>
      </c>
      <c r="Q81" s="35">
        <f t="shared" si="40"/>
        <v>45.295164552307426</v>
      </c>
      <c r="R81" s="35">
        <f t="shared" si="41"/>
        <v>54.219847398418835</v>
      </c>
      <c r="S81" s="35">
        <f t="shared" si="42"/>
        <v>62.37681559110132</v>
      </c>
      <c r="T81" s="35">
        <f t="shared" si="43"/>
        <v>69.09431880860453</v>
      </c>
      <c r="U81" s="36">
        <f t="shared" si="44"/>
        <v>79.65039529325244</v>
      </c>
      <c r="V81" s="36"/>
      <c r="W81" s="36">
        <f t="shared" si="45"/>
        <v>79.5352380952381</v>
      </c>
      <c r="X81" s="36"/>
      <c r="Y81" s="47">
        <v>79</v>
      </c>
      <c r="Z81" s="46">
        <f>IF(AND(Y81&gt;M81,Y81&lt;=U81,Y81&lt;=W81),_XLL.SPLINE(M81:U81,C81:K81,Y81),0)</f>
        <v>22.75611224623764</v>
      </c>
      <c r="AA81" s="34">
        <f t="shared" si="24"/>
        <v>0</v>
      </c>
      <c r="AB81" s="35">
        <f t="shared" si="46"/>
        <v>6.035238095238096</v>
      </c>
    </row>
    <row r="82" spans="2:28" s="35" customFormat="1" ht="12.75">
      <c r="B82" s="44" t="str">
        <f t="shared" si="25"/>
        <v>Peso</v>
      </c>
      <c r="C82" s="35">
        <f t="shared" si="26"/>
        <v>0</v>
      </c>
      <c r="D82" s="35">
        <f t="shared" si="27"/>
        <v>3.78</v>
      </c>
      <c r="E82" s="35">
        <f t="shared" si="28"/>
        <v>6.91</v>
      </c>
      <c r="F82" s="35">
        <f t="shared" si="29"/>
        <v>10.03</v>
      </c>
      <c r="G82" s="35">
        <f t="shared" si="30"/>
        <v>13.16</v>
      </c>
      <c r="H82" s="35">
        <f t="shared" si="31"/>
        <v>15.17</v>
      </c>
      <c r="I82" s="35">
        <f t="shared" si="32"/>
        <v>17.18</v>
      </c>
      <c r="J82" s="35">
        <f t="shared" si="33"/>
        <v>19.2</v>
      </c>
      <c r="K82" s="32">
        <f t="shared" si="34"/>
        <v>23</v>
      </c>
      <c r="L82" s="44" t="str">
        <f t="shared" si="35"/>
        <v>Carico</v>
      </c>
      <c r="M82" s="35">
        <f t="shared" si="36"/>
        <v>1.34350064350064</v>
      </c>
      <c r="N82" s="35">
        <f t="shared" si="37"/>
        <v>7.101360544217691</v>
      </c>
      <c r="O82" s="35">
        <f t="shared" si="38"/>
        <v>16.12200772200772</v>
      </c>
      <c r="P82" s="35">
        <f t="shared" si="39"/>
        <v>29.46104982533554</v>
      </c>
      <c r="Q82" s="35">
        <f t="shared" si="40"/>
        <v>45.295164552307426</v>
      </c>
      <c r="R82" s="35">
        <f t="shared" si="41"/>
        <v>54.219847398418835</v>
      </c>
      <c r="S82" s="35">
        <f t="shared" si="42"/>
        <v>62.37681559110132</v>
      </c>
      <c r="T82" s="35">
        <f t="shared" si="43"/>
        <v>69.09431880860453</v>
      </c>
      <c r="U82" s="36">
        <f t="shared" si="44"/>
        <v>79.65039529325244</v>
      </c>
      <c r="V82" s="36"/>
      <c r="W82" s="36">
        <f t="shared" si="45"/>
        <v>79.5352380952381</v>
      </c>
      <c r="X82" s="36"/>
      <c r="Y82" s="47">
        <v>80</v>
      </c>
      <c r="Z82" s="46">
        <f>IF(AND(Y82&gt;M82,Y82&lt;=U82,Y82&lt;=W82),_XLL.SPLINE(M82:U82,C82:K82,Y82),0)</f>
        <v>0</v>
      </c>
      <c r="AA82" s="34">
        <f t="shared" si="24"/>
        <v>0</v>
      </c>
      <c r="AB82" s="35">
        <f t="shared" si="46"/>
        <v>6.035238095238096</v>
      </c>
    </row>
    <row r="83" spans="2:28" s="35" customFormat="1" ht="12.75">
      <c r="B83" s="44" t="str">
        <f t="shared" si="25"/>
        <v>Peso</v>
      </c>
      <c r="C83" s="35">
        <f t="shared" si="26"/>
        <v>0</v>
      </c>
      <c r="D83" s="35">
        <f t="shared" si="27"/>
        <v>3.78</v>
      </c>
      <c r="E83" s="35">
        <f t="shared" si="28"/>
        <v>6.91</v>
      </c>
      <c r="F83" s="35">
        <f t="shared" si="29"/>
        <v>10.03</v>
      </c>
      <c r="G83" s="35">
        <f t="shared" si="30"/>
        <v>13.16</v>
      </c>
      <c r="H83" s="35">
        <f t="shared" si="31"/>
        <v>15.17</v>
      </c>
      <c r="I83" s="35">
        <f t="shared" si="32"/>
        <v>17.18</v>
      </c>
      <c r="J83" s="35">
        <f t="shared" si="33"/>
        <v>19.2</v>
      </c>
      <c r="K83" s="32">
        <f t="shared" si="34"/>
        <v>23</v>
      </c>
      <c r="L83" s="44" t="str">
        <f t="shared" si="35"/>
        <v>Carico</v>
      </c>
      <c r="M83" s="35">
        <f t="shared" si="36"/>
        <v>1.34350064350064</v>
      </c>
      <c r="N83" s="35">
        <f t="shared" si="37"/>
        <v>7.101360544217691</v>
      </c>
      <c r="O83" s="35">
        <f t="shared" si="38"/>
        <v>16.12200772200772</v>
      </c>
      <c r="P83" s="35">
        <f t="shared" si="39"/>
        <v>29.46104982533554</v>
      </c>
      <c r="Q83" s="35">
        <f t="shared" si="40"/>
        <v>45.295164552307426</v>
      </c>
      <c r="R83" s="35">
        <f t="shared" si="41"/>
        <v>54.219847398418835</v>
      </c>
      <c r="S83" s="35">
        <f t="shared" si="42"/>
        <v>62.37681559110132</v>
      </c>
      <c r="T83" s="35">
        <f t="shared" si="43"/>
        <v>69.09431880860453</v>
      </c>
      <c r="U83" s="36">
        <f t="shared" si="44"/>
        <v>79.65039529325244</v>
      </c>
      <c r="V83" s="36"/>
      <c r="W83" s="36">
        <f t="shared" si="45"/>
        <v>79.5352380952381</v>
      </c>
      <c r="X83" s="36"/>
      <c r="Y83" s="47">
        <v>81</v>
      </c>
      <c r="Z83" s="46">
        <f>IF(AND(Y83&gt;M83,Y83&lt;=U83,Y83&lt;=W83),_XLL.SPLINE(M83:U83,C83:K83,Y83),0)</f>
        <v>0</v>
      </c>
      <c r="AA83" s="34">
        <f t="shared" si="24"/>
        <v>0</v>
      </c>
      <c r="AB83" s="35">
        <f t="shared" si="46"/>
        <v>6.035238095238096</v>
      </c>
    </row>
    <row r="84" spans="2:28" s="35" customFormat="1" ht="12.75">
      <c r="B84" s="44" t="str">
        <f t="shared" si="25"/>
        <v>Peso</v>
      </c>
      <c r="C84" s="35">
        <f t="shared" si="26"/>
        <v>0</v>
      </c>
      <c r="D84" s="35">
        <f t="shared" si="27"/>
        <v>3.78</v>
      </c>
      <c r="E84" s="35">
        <f t="shared" si="28"/>
        <v>6.91</v>
      </c>
      <c r="F84" s="35">
        <f t="shared" si="29"/>
        <v>10.03</v>
      </c>
      <c r="G84" s="35">
        <f t="shared" si="30"/>
        <v>13.16</v>
      </c>
      <c r="H84" s="35">
        <f t="shared" si="31"/>
        <v>15.17</v>
      </c>
      <c r="I84" s="35">
        <f t="shared" si="32"/>
        <v>17.18</v>
      </c>
      <c r="J84" s="35">
        <f t="shared" si="33"/>
        <v>19.2</v>
      </c>
      <c r="K84" s="32">
        <f t="shared" si="34"/>
        <v>23</v>
      </c>
      <c r="L84" s="44" t="str">
        <f t="shared" si="35"/>
        <v>Carico</v>
      </c>
      <c r="M84" s="35">
        <f t="shared" si="36"/>
        <v>1.34350064350064</v>
      </c>
      <c r="N84" s="35">
        <f t="shared" si="37"/>
        <v>7.101360544217691</v>
      </c>
      <c r="O84" s="35">
        <f t="shared" si="38"/>
        <v>16.12200772200772</v>
      </c>
      <c r="P84" s="35">
        <f t="shared" si="39"/>
        <v>29.46104982533554</v>
      </c>
      <c r="Q84" s="35">
        <f t="shared" si="40"/>
        <v>45.295164552307426</v>
      </c>
      <c r="R84" s="35">
        <f t="shared" si="41"/>
        <v>54.219847398418835</v>
      </c>
      <c r="S84" s="35">
        <f t="shared" si="42"/>
        <v>62.37681559110132</v>
      </c>
      <c r="T84" s="35">
        <f t="shared" si="43"/>
        <v>69.09431880860453</v>
      </c>
      <c r="U84" s="36">
        <f t="shared" si="44"/>
        <v>79.65039529325244</v>
      </c>
      <c r="V84" s="36"/>
      <c r="W84" s="36">
        <f t="shared" si="45"/>
        <v>79.5352380952381</v>
      </c>
      <c r="X84" s="36"/>
      <c r="Y84" s="47">
        <v>82</v>
      </c>
      <c r="Z84" s="46">
        <f>IF(AND(Y84&gt;M84,Y84&lt;=U84,Y84&lt;=W84),_XLL.SPLINE(M84:U84,C84:K84,Y84),0)</f>
        <v>0</v>
      </c>
      <c r="AA84" s="34">
        <f t="shared" si="24"/>
        <v>0</v>
      </c>
      <c r="AB84" s="35">
        <f t="shared" si="46"/>
        <v>6.035238095238096</v>
      </c>
    </row>
    <row r="85" spans="2:28" s="35" customFormat="1" ht="12.75">
      <c r="B85" s="44" t="str">
        <f t="shared" si="25"/>
        <v>Peso</v>
      </c>
      <c r="C85" s="35">
        <f t="shared" si="26"/>
        <v>0</v>
      </c>
      <c r="D85" s="35">
        <f t="shared" si="27"/>
        <v>3.78</v>
      </c>
      <c r="E85" s="35">
        <f t="shared" si="28"/>
        <v>6.91</v>
      </c>
      <c r="F85" s="35">
        <f t="shared" si="29"/>
        <v>10.03</v>
      </c>
      <c r="G85" s="35">
        <f t="shared" si="30"/>
        <v>13.16</v>
      </c>
      <c r="H85" s="35">
        <f t="shared" si="31"/>
        <v>15.17</v>
      </c>
      <c r="I85" s="35">
        <f t="shared" si="32"/>
        <v>17.18</v>
      </c>
      <c r="J85" s="35">
        <f t="shared" si="33"/>
        <v>19.2</v>
      </c>
      <c r="K85" s="32">
        <f t="shared" si="34"/>
        <v>23</v>
      </c>
      <c r="L85" s="44" t="str">
        <f t="shared" si="35"/>
        <v>Carico</v>
      </c>
      <c r="M85" s="35">
        <f t="shared" si="36"/>
        <v>1.34350064350064</v>
      </c>
      <c r="N85" s="35">
        <f t="shared" si="37"/>
        <v>7.101360544217691</v>
      </c>
      <c r="O85" s="35">
        <f t="shared" si="38"/>
        <v>16.12200772200772</v>
      </c>
      <c r="P85" s="35">
        <f t="shared" si="39"/>
        <v>29.46104982533554</v>
      </c>
      <c r="Q85" s="35">
        <f t="shared" si="40"/>
        <v>45.295164552307426</v>
      </c>
      <c r="R85" s="35">
        <f t="shared" si="41"/>
        <v>54.219847398418835</v>
      </c>
      <c r="S85" s="35">
        <f t="shared" si="42"/>
        <v>62.37681559110132</v>
      </c>
      <c r="T85" s="35">
        <f t="shared" si="43"/>
        <v>69.09431880860453</v>
      </c>
      <c r="U85" s="36">
        <f t="shared" si="44"/>
        <v>79.65039529325244</v>
      </c>
      <c r="V85" s="36"/>
      <c r="W85" s="36">
        <f t="shared" si="45"/>
        <v>79.5352380952381</v>
      </c>
      <c r="X85" s="36"/>
      <c r="Y85" s="47">
        <v>83</v>
      </c>
      <c r="Z85" s="46">
        <f>IF(AND(Y85&gt;M85,Y85&lt;=U85,Y85&lt;=W85),_XLL.SPLINE(M85:U85,C85:K85,Y85),0)</f>
        <v>0</v>
      </c>
      <c r="AA85" s="34">
        <f t="shared" si="24"/>
        <v>0</v>
      </c>
      <c r="AB85" s="35">
        <f t="shared" si="46"/>
        <v>6.035238095238096</v>
      </c>
    </row>
    <row r="86" spans="2:28" s="35" customFormat="1" ht="12.75">
      <c r="B86" s="44" t="str">
        <f t="shared" si="25"/>
        <v>Peso</v>
      </c>
      <c r="C86" s="35">
        <f t="shared" si="26"/>
        <v>0</v>
      </c>
      <c r="D86" s="35">
        <f t="shared" si="27"/>
        <v>3.78</v>
      </c>
      <c r="E86" s="35">
        <f t="shared" si="28"/>
        <v>6.91</v>
      </c>
      <c r="F86" s="35">
        <f t="shared" si="29"/>
        <v>10.03</v>
      </c>
      <c r="G86" s="35">
        <f t="shared" si="30"/>
        <v>13.16</v>
      </c>
      <c r="H86" s="35">
        <f t="shared" si="31"/>
        <v>15.17</v>
      </c>
      <c r="I86" s="35">
        <f t="shared" si="32"/>
        <v>17.18</v>
      </c>
      <c r="J86" s="35">
        <f t="shared" si="33"/>
        <v>19.2</v>
      </c>
      <c r="K86" s="32">
        <f t="shared" si="34"/>
        <v>23</v>
      </c>
      <c r="L86" s="44" t="str">
        <f t="shared" si="35"/>
        <v>Carico</v>
      </c>
      <c r="M86" s="35">
        <f t="shared" si="36"/>
        <v>1.34350064350064</v>
      </c>
      <c r="N86" s="35">
        <f t="shared" si="37"/>
        <v>7.101360544217691</v>
      </c>
      <c r="O86" s="35">
        <f t="shared" si="38"/>
        <v>16.12200772200772</v>
      </c>
      <c r="P86" s="35">
        <f t="shared" si="39"/>
        <v>29.46104982533554</v>
      </c>
      <c r="Q86" s="35">
        <f t="shared" si="40"/>
        <v>45.295164552307426</v>
      </c>
      <c r="R86" s="35">
        <f t="shared" si="41"/>
        <v>54.219847398418835</v>
      </c>
      <c r="S86" s="35">
        <f t="shared" si="42"/>
        <v>62.37681559110132</v>
      </c>
      <c r="T86" s="35">
        <f t="shared" si="43"/>
        <v>69.09431880860453</v>
      </c>
      <c r="U86" s="36">
        <f t="shared" si="44"/>
        <v>79.65039529325244</v>
      </c>
      <c r="V86" s="36"/>
      <c r="W86" s="36">
        <f t="shared" si="45"/>
        <v>79.5352380952381</v>
      </c>
      <c r="X86" s="36"/>
      <c r="Y86" s="47">
        <v>84</v>
      </c>
      <c r="Z86" s="46">
        <f>IF(AND(Y86&gt;M86,Y86&lt;=U86,Y86&lt;=W86),_XLL.SPLINE(M86:U86,C86:K86,Y86),0)</f>
        <v>0</v>
      </c>
      <c r="AA86" s="34">
        <f t="shared" si="24"/>
        <v>0</v>
      </c>
      <c r="AB86" s="35">
        <f t="shared" si="46"/>
        <v>6.035238095238096</v>
      </c>
    </row>
    <row r="87" spans="2:28" s="35" customFormat="1" ht="12.75">
      <c r="B87" s="44" t="str">
        <f t="shared" si="25"/>
        <v>Peso</v>
      </c>
      <c r="C87" s="35">
        <f t="shared" si="26"/>
        <v>0</v>
      </c>
      <c r="D87" s="35">
        <f t="shared" si="27"/>
        <v>3.78</v>
      </c>
      <c r="E87" s="35">
        <f t="shared" si="28"/>
        <v>6.91</v>
      </c>
      <c r="F87" s="35">
        <f t="shared" si="29"/>
        <v>10.03</v>
      </c>
      <c r="G87" s="35">
        <f t="shared" si="30"/>
        <v>13.16</v>
      </c>
      <c r="H87" s="35">
        <f t="shared" si="31"/>
        <v>15.17</v>
      </c>
      <c r="I87" s="35">
        <f t="shared" si="32"/>
        <v>17.18</v>
      </c>
      <c r="J87" s="35">
        <f t="shared" si="33"/>
        <v>19.2</v>
      </c>
      <c r="K87" s="32">
        <f t="shared" si="34"/>
        <v>23</v>
      </c>
      <c r="L87" s="44" t="str">
        <f t="shared" si="35"/>
        <v>Carico</v>
      </c>
      <c r="M87" s="35">
        <f t="shared" si="36"/>
        <v>1.34350064350064</v>
      </c>
      <c r="N87" s="35">
        <f t="shared" si="37"/>
        <v>7.101360544217691</v>
      </c>
      <c r="O87" s="35">
        <f t="shared" si="38"/>
        <v>16.12200772200772</v>
      </c>
      <c r="P87" s="35">
        <f t="shared" si="39"/>
        <v>29.46104982533554</v>
      </c>
      <c r="Q87" s="35">
        <f t="shared" si="40"/>
        <v>45.295164552307426</v>
      </c>
      <c r="R87" s="35">
        <f t="shared" si="41"/>
        <v>54.219847398418835</v>
      </c>
      <c r="S87" s="35">
        <f t="shared" si="42"/>
        <v>62.37681559110132</v>
      </c>
      <c r="T87" s="35">
        <f t="shared" si="43"/>
        <v>69.09431880860453</v>
      </c>
      <c r="U87" s="36">
        <f t="shared" si="44"/>
        <v>79.65039529325244</v>
      </c>
      <c r="V87" s="36"/>
      <c r="W87" s="36">
        <f t="shared" si="45"/>
        <v>79.5352380952381</v>
      </c>
      <c r="X87" s="36"/>
      <c r="Y87" s="47">
        <v>85</v>
      </c>
      <c r="Z87" s="46">
        <f>IF(AND(Y87&gt;M87,Y87&lt;=U87,Y87&lt;=W87),_XLL.SPLINE(M87:U87,C87:K87,Y87),0)</f>
        <v>0</v>
      </c>
      <c r="AA87" s="34">
        <f t="shared" si="24"/>
        <v>0</v>
      </c>
      <c r="AB87" s="35">
        <f t="shared" si="46"/>
        <v>6.035238095238096</v>
      </c>
    </row>
    <row r="88" spans="2:28" s="35" customFormat="1" ht="12.75">
      <c r="B88" s="44" t="str">
        <f t="shared" si="25"/>
        <v>Peso</v>
      </c>
      <c r="C88" s="35">
        <f t="shared" si="26"/>
        <v>0</v>
      </c>
      <c r="D88" s="35">
        <f t="shared" si="27"/>
        <v>3.78</v>
      </c>
      <c r="E88" s="35">
        <f t="shared" si="28"/>
        <v>6.91</v>
      </c>
      <c r="F88" s="35">
        <f t="shared" si="29"/>
        <v>10.03</v>
      </c>
      <c r="G88" s="35">
        <f t="shared" si="30"/>
        <v>13.16</v>
      </c>
      <c r="H88" s="35">
        <f t="shared" si="31"/>
        <v>15.17</v>
      </c>
      <c r="I88" s="35">
        <f t="shared" si="32"/>
        <v>17.18</v>
      </c>
      <c r="J88" s="35">
        <f t="shared" si="33"/>
        <v>19.2</v>
      </c>
      <c r="K88" s="32">
        <f t="shared" si="34"/>
        <v>23</v>
      </c>
      <c r="L88" s="44" t="str">
        <f t="shared" si="35"/>
        <v>Carico</v>
      </c>
      <c r="M88" s="35">
        <f t="shared" si="36"/>
        <v>1.34350064350064</v>
      </c>
      <c r="N88" s="35">
        <f t="shared" si="37"/>
        <v>7.101360544217691</v>
      </c>
      <c r="O88" s="35">
        <f t="shared" si="38"/>
        <v>16.12200772200772</v>
      </c>
      <c r="P88" s="35">
        <f t="shared" si="39"/>
        <v>29.46104982533554</v>
      </c>
      <c r="Q88" s="35">
        <f t="shared" si="40"/>
        <v>45.295164552307426</v>
      </c>
      <c r="R88" s="35">
        <f t="shared" si="41"/>
        <v>54.219847398418835</v>
      </c>
      <c r="S88" s="35">
        <f t="shared" si="42"/>
        <v>62.37681559110132</v>
      </c>
      <c r="T88" s="35">
        <f t="shared" si="43"/>
        <v>69.09431880860453</v>
      </c>
      <c r="U88" s="36">
        <f t="shared" si="44"/>
        <v>79.65039529325244</v>
      </c>
      <c r="V88" s="36"/>
      <c r="W88" s="36">
        <f t="shared" si="45"/>
        <v>79.5352380952381</v>
      </c>
      <c r="X88" s="36"/>
      <c r="Y88" s="47">
        <v>86</v>
      </c>
      <c r="Z88" s="46">
        <f>IF(AND(Y88&gt;M88,Y88&lt;=U88,Y88&lt;=W88),_XLL.SPLINE(M88:U88,C88:K88,Y88),0)</f>
        <v>0</v>
      </c>
      <c r="AA88" s="34">
        <f t="shared" si="24"/>
        <v>0</v>
      </c>
      <c r="AB88" s="35">
        <f t="shared" si="46"/>
        <v>6.035238095238096</v>
      </c>
    </row>
    <row r="89" spans="2:28" s="35" customFormat="1" ht="12.75">
      <c r="B89" s="44" t="str">
        <f t="shared" si="25"/>
        <v>Peso</v>
      </c>
      <c r="C89" s="35">
        <f t="shared" si="26"/>
        <v>0</v>
      </c>
      <c r="D89" s="35">
        <f t="shared" si="27"/>
        <v>3.78</v>
      </c>
      <c r="E89" s="35">
        <f t="shared" si="28"/>
        <v>6.91</v>
      </c>
      <c r="F89" s="35">
        <f t="shared" si="29"/>
        <v>10.03</v>
      </c>
      <c r="G89" s="35">
        <f t="shared" si="30"/>
        <v>13.16</v>
      </c>
      <c r="H89" s="35">
        <f t="shared" si="31"/>
        <v>15.17</v>
      </c>
      <c r="I89" s="35">
        <f t="shared" si="32"/>
        <v>17.18</v>
      </c>
      <c r="J89" s="35">
        <f t="shared" si="33"/>
        <v>19.2</v>
      </c>
      <c r="K89" s="32">
        <f t="shared" si="34"/>
        <v>23</v>
      </c>
      <c r="L89" s="44" t="str">
        <f t="shared" si="35"/>
        <v>Carico</v>
      </c>
      <c r="M89" s="35">
        <f t="shared" si="36"/>
        <v>1.34350064350064</v>
      </c>
      <c r="N89" s="35">
        <f t="shared" si="37"/>
        <v>7.101360544217691</v>
      </c>
      <c r="O89" s="35">
        <f t="shared" si="38"/>
        <v>16.12200772200772</v>
      </c>
      <c r="P89" s="35">
        <f t="shared" si="39"/>
        <v>29.46104982533554</v>
      </c>
      <c r="Q89" s="35">
        <f t="shared" si="40"/>
        <v>45.295164552307426</v>
      </c>
      <c r="R89" s="35">
        <f t="shared" si="41"/>
        <v>54.219847398418835</v>
      </c>
      <c r="S89" s="35">
        <f t="shared" si="42"/>
        <v>62.37681559110132</v>
      </c>
      <c r="T89" s="35">
        <f t="shared" si="43"/>
        <v>69.09431880860453</v>
      </c>
      <c r="U89" s="36">
        <f t="shared" si="44"/>
        <v>79.65039529325244</v>
      </c>
      <c r="V89" s="36"/>
      <c r="W89" s="36">
        <f t="shared" si="45"/>
        <v>79.5352380952381</v>
      </c>
      <c r="X89" s="36"/>
      <c r="Y89" s="47">
        <v>87</v>
      </c>
      <c r="Z89" s="46">
        <f>IF(AND(Y89&gt;M89,Y89&lt;=U89,Y89&lt;=W89),_XLL.SPLINE(M89:U89,C89:K89,Y89),0)</f>
        <v>0</v>
      </c>
      <c r="AA89" s="34">
        <f t="shared" si="24"/>
        <v>0</v>
      </c>
      <c r="AB89" s="35">
        <f t="shared" si="46"/>
        <v>6.035238095238096</v>
      </c>
    </row>
    <row r="90" spans="2:28" s="35" customFormat="1" ht="12.75">
      <c r="B90" s="44" t="str">
        <f t="shared" si="25"/>
        <v>Peso</v>
      </c>
      <c r="C90" s="35">
        <f t="shared" si="26"/>
        <v>0</v>
      </c>
      <c r="D90" s="35">
        <f t="shared" si="27"/>
        <v>3.78</v>
      </c>
      <c r="E90" s="35">
        <f t="shared" si="28"/>
        <v>6.91</v>
      </c>
      <c r="F90" s="35">
        <f t="shared" si="29"/>
        <v>10.03</v>
      </c>
      <c r="G90" s="35">
        <f t="shared" si="30"/>
        <v>13.16</v>
      </c>
      <c r="H90" s="35">
        <f t="shared" si="31"/>
        <v>15.17</v>
      </c>
      <c r="I90" s="35">
        <f t="shared" si="32"/>
        <v>17.18</v>
      </c>
      <c r="J90" s="35">
        <f t="shared" si="33"/>
        <v>19.2</v>
      </c>
      <c r="K90" s="32">
        <f t="shared" si="34"/>
        <v>23</v>
      </c>
      <c r="L90" s="44" t="str">
        <f t="shared" si="35"/>
        <v>Carico</v>
      </c>
      <c r="M90" s="35">
        <f t="shared" si="36"/>
        <v>1.34350064350064</v>
      </c>
      <c r="N90" s="35">
        <f t="shared" si="37"/>
        <v>7.101360544217691</v>
      </c>
      <c r="O90" s="35">
        <f t="shared" si="38"/>
        <v>16.12200772200772</v>
      </c>
      <c r="P90" s="35">
        <f t="shared" si="39"/>
        <v>29.46104982533554</v>
      </c>
      <c r="Q90" s="35">
        <f t="shared" si="40"/>
        <v>45.295164552307426</v>
      </c>
      <c r="R90" s="35">
        <f t="shared" si="41"/>
        <v>54.219847398418835</v>
      </c>
      <c r="S90" s="35">
        <f t="shared" si="42"/>
        <v>62.37681559110132</v>
      </c>
      <c r="T90" s="35">
        <f t="shared" si="43"/>
        <v>69.09431880860453</v>
      </c>
      <c r="U90" s="36">
        <f t="shared" si="44"/>
        <v>79.65039529325244</v>
      </c>
      <c r="V90" s="36"/>
      <c r="W90" s="36">
        <f t="shared" si="45"/>
        <v>79.5352380952381</v>
      </c>
      <c r="X90" s="36"/>
      <c r="Y90" s="47">
        <v>88</v>
      </c>
      <c r="Z90" s="46">
        <f>IF(AND(Y90&gt;M90,Y90&lt;=U90,Y90&lt;=W90),_XLL.SPLINE(M90:U90,C90:K90,Y90),0)</f>
        <v>0</v>
      </c>
      <c r="AA90" s="34">
        <f t="shared" si="24"/>
        <v>0</v>
      </c>
      <c r="AB90" s="35">
        <f t="shared" si="46"/>
        <v>6.035238095238096</v>
      </c>
    </row>
    <row r="91" spans="2:28" s="35" customFormat="1" ht="12.75">
      <c r="B91" s="44" t="str">
        <f t="shared" si="25"/>
        <v>Peso</v>
      </c>
      <c r="C91" s="35">
        <f t="shared" si="26"/>
        <v>0</v>
      </c>
      <c r="D91" s="35">
        <f t="shared" si="27"/>
        <v>3.78</v>
      </c>
      <c r="E91" s="35">
        <f t="shared" si="28"/>
        <v>6.91</v>
      </c>
      <c r="F91" s="35">
        <f t="shared" si="29"/>
        <v>10.03</v>
      </c>
      <c r="G91" s="35">
        <f t="shared" si="30"/>
        <v>13.16</v>
      </c>
      <c r="H91" s="35">
        <f t="shared" si="31"/>
        <v>15.17</v>
      </c>
      <c r="I91" s="35">
        <f t="shared" si="32"/>
        <v>17.18</v>
      </c>
      <c r="J91" s="35">
        <f t="shared" si="33"/>
        <v>19.2</v>
      </c>
      <c r="K91" s="32">
        <f t="shared" si="34"/>
        <v>23</v>
      </c>
      <c r="L91" s="44" t="str">
        <f t="shared" si="35"/>
        <v>Carico</v>
      </c>
      <c r="M91" s="35">
        <f t="shared" si="36"/>
        <v>1.34350064350064</v>
      </c>
      <c r="N91" s="35">
        <f t="shared" si="37"/>
        <v>7.101360544217691</v>
      </c>
      <c r="O91" s="35">
        <f t="shared" si="38"/>
        <v>16.12200772200772</v>
      </c>
      <c r="P91" s="35">
        <f t="shared" si="39"/>
        <v>29.46104982533554</v>
      </c>
      <c r="Q91" s="35">
        <f t="shared" si="40"/>
        <v>45.295164552307426</v>
      </c>
      <c r="R91" s="35">
        <f t="shared" si="41"/>
        <v>54.219847398418835</v>
      </c>
      <c r="S91" s="35">
        <f t="shared" si="42"/>
        <v>62.37681559110132</v>
      </c>
      <c r="T91" s="35">
        <f t="shared" si="43"/>
        <v>69.09431880860453</v>
      </c>
      <c r="U91" s="36">
        <f t="shared" si="44"/>
        <v>79.65039529325244</v>
      </c>
      <c r="V91" s="36"/>
      <c r="W91" s="36">
        <f t="shared" si="45"/>
        <v>79.5352380952381</v>
      </c>
      <c r="X91" s="36"/>
      <c r="Y91" s="47">
        <v>89</v>
      </c>
      <c r="Z91" s="46">
        <f>IF(AND(Y91&gt;M91,Y91&lt;=U91,Y91&lt;=W91),_XLL.SPLINE(M91:U91,C91:K91,Y91),0)</f>
        <v>0</v>
      </c>
      <c r="AA91" s="34">
        <f t="shared" si="24"/>
        <v>0</v>
      </c>
      <c r="AB91" s="35">
        <f t="shared" si="46"/>
        <v>6.035238095238096</v>
      </c>
    </row>
    <row r="92" spans="2:28" s="35" customFormat="1" ht="12.75">
      <c r="B92" s="44" t="str">
        <f t="shared" si="25"/>
        <v>Peso</v>
      </c>
      <c r="C92" s="35">
        <f t="shared" si="26"/>
        <v>0</v>
      </c>
      <c r="D92" s="35">
        <f t="shared" si="27"/>
        <v>3.78</v>
      </c>
      <c r="E92" s="35">
        <f t="shared" si="28"/>
        <v>6.91</v>
      </c>
      <c r="F92" s="35">
        <f t="shared" si="29"/>
        <v>10.03</v>
      </c>
      <c r="G92" s="35">
        <f t="shared" si="30"/>
        <v>13.16</v>
      </c>
      <c r="H92" s="35">
        <f t="shared" si="31"/>
        <v>15.17</v>
      </c>
      <c r="I92" s="35">
        <f t="shared" si="32"/>
        <v>17.18</v>
      </c>
      <c r="J92" s="35">
        <f t="shared" si="33"/>
        <v>19.2</v>
      </c>
      <c r="K92" s="32">
        <f t="shared" si="34"/>
        <v>23</v>
      </c>
      <c r="L92" s="44" t="str">
        <f t="shared" si="35"/>
        <v>Carico</v>
      </c>
      <c r="M92" s="35">
        <f t="shared" si="36"/>
        <v>1.34350064350064</v>
      </c>
      <c r="N92" s="35">
        <f t="shared" si="37"/>
        <v>7.101360544217691</v>
      </c>
      <c r="O92" s="35">
        <f t="shared" si="38"/>
        <v>16.12200772200772</v>
      </c>
      <c r="P92" s="35">
        <f t="shared" si="39"/>
        <v>29.46104982533554</v>
      </c>
      <c r="Q92" s="35">
        <f t="shared" si="40"/>
        <v>45.295164552307426</v>
      </c>
      <c r="R92" s="35">
        <f t="shared" si="41"/>
        <v>54.219847398418835</v>
      </c>
      <c r="S92" s="35">
        <f t="shared" si="42"/>
        <v>62.37681559110132</v>
      </c>
      <c r="T92" s="35">
        <f t="shared" si="43"/>
        <v>69.09431880860453</v>
      </c>
      <c r="U92" s="36">
        <f t="shared" si="44"/>
        <v>79.65039529325244</v>
      </c>
      <c r="V92" s="36"/>
      <c r="W92" s="36">
        <f t="shared" si="45"/>
        <v>79.5352380952381</v>
      </c>
      <c r="X92" s="36"/>
      <c r="Y92" s="47">
        <v>90</v>
      </c>
      <c r="Z92" s="46">
        <f>IF(AND(Y92&gt;M92,Y92&lt;=U92,Y92&lt;=W92),_XLL.SPLINE(M92:U92,C92:K92,Y92),0)</f>
        <v>0</v>
      </c>
      <c r="AA92" s="34">
        <f t="shared" si="24"/>
        <v>0</v>
      </c>
      <c r="AB92" s="35">
        <f t="shared" si="46"/>
        <v>6.035238095238096</v>
      </c>
    </row>
    <row r="93" spans="2:28" s="35" customFormat="1" ht="12.75">
      <c r="B93" s="44" t="str">
        <f t="shared" si="25"/>
        <v>Peso</v>
      </c>
      <c r="C93" s="35">
        <f t="shared" si="26"/>
        <v>0</v>
      </c>
      <c r="D93" s="35">
        <f t="shared" si="27"/>
        <v>3.78</v>
      </c>
      <c r="E93" s="35">
        <f t="shared" si="28"/>
        <v>6.91</v>
      </c>
      <c r="F93" s="35">
        <f t="shared" si="29"/>
        <v>10.03</v>
      </c>
      <c r="G93" s="35">
        <f t="shared" si="30"/>
        <v>13.16</v>
      </c>
      <c r="H93" s="35">
        <f t="shared" si="31"/>
        <v>15.17</v>
      </c>
      <c r="I93" s="35">
        <f t="shared" si="32"/>
        <v>17.18</v>
      </c>
      <c r="J93" s="35">
        <f t="shared" si="33"/>
        <v>19.2</v>
      </c>
      <c r="K93" s="32">
        <f t="shared" si="34"/>
        <v>23</v>
      </c>
      <c r="L93" s="44" t="str">
        <f t="shared" si="35"/>
        <v>Carico</v>
      </c>
      <c r="M93" s="35">
        <f t="shared" si="36"/>
        <v>1.34350064350064</v>
      </c>
      <c r="N93" s="35">
        <f t="shared" si="37"/>
        <v>7.101360544217691</v>
      </c>
      <c r="O93" s="35">
        <f t="shared" si="38"/>
        <v>16.12200772200772</v>
      </c>
      <c r="P93" s="35">
        <f t="shared" si="39"/>
        <v>29.46104982533554</v>
      </c>
      <c r="Q93" s="35">
        <f t="shared" si="40"/>
        <v>45.295164552307426</v>
      </c>
      <c r="R93" s="35">
        <f t="shared" si="41"/>
        <v>54.219847398418835</v>
      </c>
      <c r="S93" s="35">
        <f t="shared" si="42"/>
        <v>62.37681559110132</v>
      </c>
      <c r="T93" s="35">
        <f t="shared" si="43"/>
        <v>69.09431880860453</v>
      </c>
      <c r="U93" s="36">
        <f t="shared" si="44"/>
        <v>79.65039529325244</v>
      </c>
      <c r="V93" s="36"/>
      <c r="W93" s="36">
        <f t="shared" si="45"/>
        <v>79.5352380952381</v>
      </c>
      <c r="X93" s="36"/>
      <c r="Y93" s="47">
        <v>91</v>
      </c>
      <c r="Z93" s="46">
        <f>IF(AND(Y93&gt;M93,Y93&lt;=U93,Y93&lt;=W93),_XLL.SPLINE(M93:U93,C93:K93,Y93),0)</f>
        <v>0</v>
      </c>
      <c r="AA93" s="34">
        <f t="shared" si="24"/>
        <v>0</v>
      </c>
      <c r="AB93" s="35">
        <f t="shared" si="46"/>
        <v>6.035238095238096</v>
      </c>
    </row>
    <row r="94" spans="2:28" s="35" customFormat="1" ht="12.75">
      <c r="B94" s="44" t="str">
        <f t="shared" si="25"/>
        <v>Peso</v>
      </c>
      <c r="C94" s="35">
        <f t="shared" si="26"/>
        <v>0</v>
      </c>
      <c r="D94" s="35">
        <f t="shared" si="27"/>
        <v>3.78</v>
      </c>
      <c r="E94" s="35">
        <f t="shared" si="28"/>
        <v>6.91</v>
      </c>
      <c r="F94" s="35">
        <f t="shared" si="29"/>
        <v>10.03</v>
      </c>
      <c r="G94" s="35">
        <f t="shared" si="30"/>
        <v>13.16</v>
      </c>
      <c r="H94" s="35">
        <f t="shared" si="31"/>
        <v>15.17</v>
      </c>
      <c r="I94" s="35">
        <f t="shared" si="32"/>
        <v>17.18</v>
      </c>
      <c r="J94" s="35">
        <f t="shared" si="33"/>
        <v>19.2</v>
      </c>
      <c r="K94" s="32">
        <f t="shared" si="34"/>
        <v>23</v>
      </c>
      <c r="L94" s="44" t="str">
        <f t="shared" si="35"/>
        <v>Carico</v>
      </c>
      <c r="M94" s="35">
        <f t="shared" si="36"/>
        <v>1.34350064350064</v>
      </c>
      <c r="N94" s="35">
        <f t="shared" si="37"/>
        <v>7.101360544217691</v>
      </c>
      <c r="O94" s="35">
        <f t="shared" si="38"/>
        <v>16.12200772200772</v>
      </c>
      <c r="P94" s="35">
        <f t="shared" si="39"/>
        <v>29.46104982533554</v>
      </c>
      <c r="Q94" s="35">
        <f t="shared" si="40"/>
        <v>45.295164552307426</v>
      </c>
      <c r="R94" s="35">
        <f t="shared" si="41"/>
        <v>54.219847398418835</v>
      </c>
      <c r="S94" s="35">
        <f t="shared" si="42"/>
        <v>62.37681559110132</v>
      </c>
      <c r="T94" s="35">
        <f t="shared" si="43"/>
        <v>69.09431880860453</v>
      </c>
      <c r="U94" s="36">
        <f t="shared" si="44"/>
        <v>79.65039529325244</v>
      </c>
      <c r="V94" s="36"/>
      <c r="W94" s="36">
        <f t="shared" si="45"/>
        <v>79.5352380952381</v>
      </c>
      <c r="X94" s="36"/>
      <c r="Y94" s="47">
        <v>92</v>
      </c>
      <c r="Z94" s="46">
        <f>IF(AND(Y94&gt;M94,Y94&lt;=U94,Y94&lt;=W94),_XLL.SPLINE(M94:U94,C94:K94,Y94),0)</f>
        <v>0</v>
      </c>
      <c r="AA94" s="34">
        <f t="shared" si="24"/>
        <v>0</v>
      </c>
      <c r="AB94" s="35">
        <f t="shared" si="46"/>
        <v>6.035238095238096</v>
      </c>
    </row>
    <row r="95" spans="2:28" s="35" customFormat="1" ht="12.75">
      <c r="B95" s="44" t="str">
        <f t="shared" si="25"/>
        <v>Peso</v>
      </c>
      <c r="C95" s="35">
        <f t="shared" si="26"/>
        <v>0</v>
      </c>
      <c r="D95" s="35">
        <f t="shared" si="27"/>
        <v>3.78</v>
      </c>
      <c r="E95" s="35">
        <f t="shared" si="28"/>
        <v>6.91</v>
      </c>
      <c r="F95" s="35">
        <f t="shared" si="29"/>
        <v>10.03</v>
      </c>
      <c r="G95" s="35">
        <f t="shared" si="30"/>
        <v>13.16</v>
      </c>
      <c r="H95" s="35">
        <f t="shared" si="31"/>
        <v>15.17</v>
      </c>
      <c r="I95" s="35">
        <f t="shared" si="32"/>
        <v>17.18</v>
      </c>
      <c r="J95" s="35">
        <f t="shared" si="33"/>
        <v>19.2</v>
      </c>
      <c r="K95" s="32">
        <f t="shared" si="34"/>
        <v>23</v>
      </c>
      <c r="L95" s="44" t="str">
        <f t="shared" si="35"/>
        <v>Carico</v>
      </c>
      <c r="M95" s="35">
        <f t="shared" si="36"/>
        <v>1.34350064350064</v>
      </c>
      <c r="N95" s="35">
        <f t="shared" si="37"/>
        <v>7.101360544217691</v>
      </c>
      <c r="O95" s="35">
        <f t="shared" si="38"/>
        <v>16.12200772200772</v>
      </c>
      <c r="P95" s="35">
        <f t="shared" si="39"/>
        <v>29.46104982533554</v>
      </c>
      <c r="Q95" s="35">
        <f t="shared" si="40"/>
        <v>45.295164552307426</v>
      </c>
      <c r="R95" s="35">
        <f t="shared" si="41"/>
        <v>54.219847398418835</v>
      </c>
      <c r="S95" s="35">
        <f t="shared" si="42"/>
        <v>62.37681559110132</v>
      </c>
      <c r="T95" s="35">
        <f t="shared" si="43"/>
        <v>69.09431880860453</v>
      </c>
      <c r="U95" s="36">
        <f t="shared" si="44"/>
        <v>79.65039529325244</v>
      </c>
      <c r="V95" s="36"/>
      <c r="W95" s="36">
        <f t="shared" si="45"/>
        <v>79.5352380952381</v>
      </c>
      <c r="X95" s="36"/>
      <c r="Y95" s="47">
        <v>93</v>
      </c>
      <c r="Z95" s="46">
        <f>IF(AND(Y95&gt;M95,Y95&lt;=U95,Y95&lt;=W95),_XLL.SPLINE(M95:U95,C95:K95,Y95),0)</f>
        <v>0</v>
      </c>
      <c r="AA95" s="34">
        <f t="shared" si="24"/>
        <v>0</v>
      </c>
      <c r="AB95" s="35">
        <f t="shared" si="46"/>
        <v>6.035238095238096</v>
      </c>
    </row>
    <row r="96" spans="2:28" s="35" customFormat="1" ht="12.75">
      <c r="B96" s="44" t="str">
        <f t="shared" si="25"/>
        <v>Peso</v>
      </c>
      <c r="C96" s="35">
        <f t="shared" si="26"/>
        <v>0</v>
      </c>
      <c r="D96" s="35">
        <f t="shared" si="27"/>
        <v>3.78</v>
      </c>
      <c r="E96" s="35">
        <f t="shared" si="28"/>
        <v>6.91</v>
      </c>
      <c r="F96" s="35">
        <f t="shared" si="29"/>
        <v>10.03</v>
      </c>
      <c r="G96" s="35">
        <f t="shared" si="30"/>
        <v>13.16</v>
      </c>
      <c r="H96" s="35">
        <f t="shared" si="31"/>
        <v>15.17</v>
      </c>
      <c r="I96" s="35">
        <f t="shared" si="32"/>
        <v>17.18</v>
      </c>
      <c r="J96" s="35">
        <f t="shared" si="33"/>
        <v>19.2</v>
      </c>
      <c r="K96" s="32">
        <f t="shared" si="34"/>
        <v>23</v>
      </c>
      <c r="L96" s="44" t="str">
        <f t="shared" si="35"/>
        <v>Carico</v>
      </c>
      <c r="M96" s="35">
        <f t="shared" si="36"/>
        <v>1.34350064350064</v>
      </c>
      <c r="N96" s="35">
        <f t="shared" si="37"/>
        <v>7.101360544217691</v>
      </c>
      <c r="O96" s="35">
        <f t="shared" si="38"/>
        <v>16.12200772200772</v>
      </c>
      <c r="P96" s="35">
        <f t="shared" si="39"/>
        <v>29.46104982533554</v>
      </c>
      <c r="Q96" s="35">
        <f t="shared" si="40"/>
        <v>45.295164552307426</v>
      </c>
      <c r="R96" s="35">
        <f t="shared" si="41"/>
        <v>54.219847398418835</v>
      </c>
      <c r="S96" s="35">
        <f t="shared" si="42"/>
        <v>62.37681559110132</v>
      </c>
      <c r="T96" s="35">
        <f t="shared" si="43"/>
        <v>69.09431880860453</v>
      </c>
      <c r="U96" s="36">
        <f t="shared" si="44"/>
        <v>79.65039529325244</v>
      </c>
      <c r="V96" s="36"/>
      <c r="W96" s="36">
        <f t="shared" si="45"/>
        <v>79.5352380952381</v>
      </c>
      <c r="X96" s="36"/>
      <c r="Y96" s="47">
        <v>94</v>
      </c>
      <c r="Z96" s="46">
        <f>IF(AND(Y96&gt;M96,Y96&lt;=U96,Y96&lt;=W96),_XLL.SPLINE(M96:U96,C96:K96,Y96),0)</f>
        <v>0</v>
      </c>
      <c r="AA96" s="34">
        <f t="shared" si="24"/>
        <v>0</v>
      </c>
      <c r="AB96" s="35">
        <f t="shared" si="46"/>
        <v>6.035238095238096</v>
      </c>
    </row>
    <row r="97" spans="2:28" s="35" customFormat="1" ht="12.75">
      <c r="B97" s="44" t="str">
        <f t="shared" si="25"/>
        <v>Peso</v>
      </c>
      <c r="C97" s="35">
        <f t="shared" si="26"/>
        <v>0</v>
      </c>
      <c r="D97" s="35">
        <f t="shared" si="27"/>
        <v>3.78</v>
      </c>
      <c r="E97" s="35">
        <f t="shared" si="28"/>
        <v>6.91</v>
      </c>
      <c r="F97" s="35">
        <f t="shared" si="29"/>
        <v>10.03</v>
      </c>
      <c r="G97" s="35">
        <f t="shared" si="30"/>
        <v>13.16</v>
      </c>
      <c r="H97" s="35">
        <f t="shared" si="31"/>
        <v>15.17</v>
      </c>
      <c r="I97" s="35">
        <f t="shared" si="32"/>
        <v>17.18</v>
      </c>
      <c r="J97" s="35">
        <f t="shared" si="33"/>
        <v>19.2</v>
      </c>
      <c r="K97" s="32">
        <f t="shared" si="34"/>
        <v>23</v>
      </c>
      <c r="L97" s="44" t="str">
        <f t="shared" si="35"/>
        <v>Carico</v>
      </c>
      <c r="M97" s="35">
        <f t="shared" si="36"/>
        <v>1.34350064350064</v>
      </c>
      <c r="N97" s="35">
        <f t="shared" si="37"/>
        <v>7.101360544217691</v>
      </c>
      <c r="O97" s="35">
        <f t="shared" si="38"/>
        <v>16.12200772200772</v>
      </c>
      <c r="P97" s="35">
        <f t="shared" si="39"/>
        <v>29.46104982533554</v>
      </c>
      <c r="Q97" s="35">
        <f t="shared" si="40"/>
        <v>45.295164552307426</v>
      </c>
      <c r="R97" s="35">
        <f t="shared" si="41"/>
        <v>54.219847398418835</v>
      </c>
      <c r="S97" s="35">
        <f t="shared" si="42"/>
        <v>62.37681559110132</v>
      </c>
      <c r="T97" s="35">
        <f t="shared" si="43"/>
        <v>69.09431880860453</v>
      </c>
      <c r="U97" s="36">
        <f t="shared" si="44"/>
        <v>79.65039529325244</v>
      </c>
      <c r="V97" s="36"/>
      <c r="W97" s="36">
        <f t="shared" si="45"/>
        <v>79.5352380952381</v>
      </c>
      <c r="X97" s="36"/>
      <c r="Y97" s="47">
        <v>95</v>
      </c>
      <c r="Z97" s="46">
        <f>IF(AND(Y97&gt;M97,Y97&lt;=U97,Y97&lt;=W97),_XLL.SPLINE(M97:U97,C97:K97,Y97),0)</f>
        <v>0</v>
      </c>
      <c r="AA97" s="34">
        <f t="shared" si="24"/>
        <v>0</v>
      </c>
      <c r="AB97" s="35">
        <f t="shared" si="46"/>
        <v>6.035238095238096</v>
      </c>
    </row>
    <row r="98" spans="2:28" s="35" customFormat="1" ht="12.75">
      <c r="B98" s="44" t="str">
        <f t="shared" si="25"/>
        <v>Peso</v>
      </c>
      <c r="C98" s="35">
        <f t="shared" si="26"/>
        <v>0</v>
      </c>
      <c r="D98" s="35">
        <f t="shared" si="27"/>
        <v>3.78</v>
      </c>
      <c r="E98" s="35">
        <f t="shared" si="28"/>
        <v>6.91</v>
      </c>
      <c r="F98" s="35">
        <f t="shared" si="29"/>
        <v>10.03</v>
      </c>
      <c r="G98" s="35">
        <f t="shared" si="30"/>
        <v>13.16</v>
      </c>
      <c r="H98" s="35">
        <f t="shared" si="31"/>
        <v>15.17</v>
      </c>
      <c r="I98" s="35">
        <f t="shared" si="32"/>
        <v>17.18</v>
      </c>
      <c r="J98" s="35">
        <f t="shared" si="33"/>
        <v>19.2</v>
      </c>
      <c r="K98" s="32">
        <f t="shared" si="34"/>
        <v>23</v>
      </c>
      <c r="L98" s="44" t="str">
        <f t="shared" si="35"/>
        <v>Carico</v>
      </c>
      <c r="M98" s="35">
        <f t="shared" si="36"/>
        <v>1.34350064350064</v>
      </c>
      <c r="N98" s="35">
        <f t="shared" si="37"/>
        <v>7.101360544217691</v>
      </c>
      <c r="O98" s="35">
        <f t="shared" si="38"/>
        <v>16.12200772200772</v>
      </c>
      <c r="P98" s="35">
        <f t="shared" si="39"/>
        <v>29.46104982533554</v>
      </c>
      <c r="Q98" s="35">
        <f t="shared" si="40"/>
        <v>45.295164552307426</v>
      </c>
      <c r="R98" s="35">
        <f t="shared" si="41"/>
        <v>54.219847398418835</v>
      </c>
      <c r="S98" s="35">
        <f t="shared" si="42"/>
        <v>62.37681559110132</v>
      </c>
      <c r="T98" s="35">
        <f t="shared" si="43"/>
        <v>69.09431880860453</v>
      </c>
      <c r="U98" s="36">
        <f t="shared" si="44"/>
        <v>79.65039529325244</v>
      </c>
      <c r="V98" s="36"/>
      <c r="W98" s="36">
        <f t="shared" si="45"/>
        <v>79.5352380952381</v>
      </c>
      <c r="X98" s="36"/>
      <c r="Y98" s="47">
        <v>96</v>
      </c>
      <c r="Z98" s="46">
        <f>IF(AND(Y98&gt;M98,Y98&lt;=U98,Y98&lt;=W98),_XLL.SPLINE(M98:U98,C98:K98,Y98),0)</f>
        <v>0</v>
      </c>
      <c r="AA98" s="34">
        <f t="shared" si="24"/>
        <v>0</v>
      </c>
      <c r="AB98" s="35">
        <f t="shared" si="46"/>
        <v>6.035238095238096</v>
      </c>
    </row>
    <row r="99" spans="2:28" s="35" customFormat="1" ht="12.75">
      <c r="B99" s="44" t="str">
        <f t="shared" si="25"/>
        <v>Peso</v>
      </c>
      <c r="C99" s="35">
        <f t="shared" si="26"/>
        <v>0</v>
      </c>
      <c r="D99" s="35">
        <f t="shared" si="27"/>
        <v>3.78</v>
      </c>
      <c r="E99" s="35">
        <f t="shared" si="28"/>
        <v>6.91</v>
      </c>
      <c r="F99" s="35">
        <f t="shared" si="29"/>
        <v>10.03</v>
      </c>
      <c r="G99" s="35">
        <f t="shared" si="30"/>
        <v>13.16</v>
      </c>
      <c r="H99" s="35">
        <f t="shared" si="31"/>
        <v>15.17</v>
      </c>
      <c r="I99" s="35">
        <f t="shared" si="32"/>
        <v>17.18</v>
      </c>
      <c r="J99" s="35">
        <f t="shared" si="33"/>
        <v>19.2</v>
      </c>
      <c r="K99" s="32">
        <f t="shared" si="34"/>
        <v>23</v>
      </c>
      <c r="L99" s="44" t="str">
        <f t="shared" si="35"/>
        <v>Carico</v>
      </c>
      <c r="M99" s="35">
        <f t="shared" si="36"/>
        <v>1.34350064350064</v>
      </c>
      <c r="N99" s="35">
        <f t="shared" si="37"/>
        <v>7.101360544217691</v>
      </c>
      <c r="O99" s="35">
        <f t="shared" si="38"/>
        <v>16.12200772200772</v>
      </c>
      <c r="P99" s="35">
        <f t="shared" si="39"/>
        <v>29.46104982533554</v>
      </c>
      <c r="Q99" s="35">
        <f t="shared" si="40"/>
        <v>45.295164552307426</v>
      </c>
      <c r="R99" s="35">
        <f t="shared" si="41"/>
        <v>54.219847398418835</v>
      </c>
      <c r="S99" s="35">
        <f t="shared" si="42"/>
        <v>62.37681559110132</v>
      </c>
      <c r="T99" s="35">
        <f t="shared" si="43"/>
        <v>69.09431880860453</v>
      </c>
      <c r="U99" s="36">
        <f t="shared" si="44"/>
        <v>79.65039529325244</v>
      </c>
      <c r="V99" s="36"/>
      <c r="W99" s="36">
        <f t="shared" si="45"/>
        <v>79.5352380952381</v>
      </c>
      <c r="X99" s="36"/>
      <c r="Y99" s="47">
        <v>97</v>
      </c>
      <c r="Z99" s="46">
        <f>IF(AND(Y99&gt;M99,Y99&lt;=U99,Y99&lt;=W99),_XLL.SPLINE(M99:U99,C99:K99,Y99),0)</f>
        <v>0</v>
      </c>
      <c r="AA99" s="34">
        <f t="shared" si="24"/>
        <v>0</v>
      </c>
      <c r="AB99" s="35">
        <f t="shared" si="46"/>
        <v>6.035238095238096</v>
      </c>
    </row>
    <row r="100" spans="2:28" s="35" customFormat="1" ht="12.75">
      <c r="B100" s="44" t="str">
        <f t="shared" si="25"/>
        <v>Peso</v>
      </c>
      <c r="C100" s="35">
        <f t="shared" si="26"/>
        <v>0</v>
      </c>
      <c r="D100" s="35">
        <f t="shared" si="27"/>
        <v>3.78</v>
      </c>
      <c r="E100" s="35">
        <f t="shared" si="28"/>
        <v>6.91</v>
      </c>
      <c r="F100" s="35">
        <f t="shared" si="29"/>
        <v>10.03</v>
      </c>
      <c r="G100" s="35">
        <f t="shared" si="30"/>
        <v>13.16</v>
      </c>
      <c r="H100" s="35">
        <f t="shared" si="31"/>
        <v>15.17</v>
      </c>
      <c r="I100" s="35">
        <f t="shared" si="32"/>
        <v>17.18</v>
      </c>
      <c r="J100" s="35">
        <f t="shared" si="33"/>
        <v>19.2</v>
      </c>
      <c r="K100" s="32">
        <f t="shared" si="34"/>
        <v>23</v>
      </c>
      <c r="L100" s="44" t="str">
        <f t="shared" si="35"/>
        <v>Carico</v>
      </c>
      <c r="M100" s="35">
        <f t="shared" si="36"/>
        <v>1.34350064350064</v>
      </c>
      <c r="N100" s="35">
        <f t="shared" si="37"/>
        <v>7.101360544217691</v>
      </c>
      <c r="O100" s="35">
        <f t="shared" si="38"/>
        <v>16.12200772200772</v>
      </c>
      <c r="P100" s="35">
        <f t="shared" si="39"/>
        <v>29.46104982533554</v>
      </c>
      <c r="Q100" s="35">
        <f t="shared" si="40"/>
        <v>45.295164552307426</v>
      </c>
      <c r="R100" s="35">
        <f t="shared" si="41"/>
        <v>54.219847398418835</v>
      </c>
      <c r="S100" s="35">
        <f t="shared" si="42"/>
        <v>62.37681559110132</v>
      </c>
      <c r="T100" s="35">
        <f t="shared" si="43"/>
        <v>69.09431880860453</v>
      </c>
      <c r="U100" s="36">
        <f t="shared" si="44"/>
        <v>79.65039529325244</v>
      </c>
      <c r="V100" s="36"/>
      <c r="W100" s="36">
        <f t="shared" si="45"/>
        <v>79.5352380952381</v>
      </c>
      <c r="X100" s="36"/>
      <c r="Y100" s="47">
        <v>98</v>
      </c>
      <c r="Z100" s="46">
        <f>IF(AND(Y100&gt;M100,Y100&lt;=U100,Y100&lt;=W100),_XLL.SPLINE(M100:U100,C100:K100,Y100),0)</f>
        <v>0</v>
      </c>
      <c r="AA100" s="34">
        <f t="shared" si="24"/>
        <v>0</v>
      </c>
      <c r="AB100" s="35">
        <f t="shared" si="46"/>
        <v>6.035238095238096</v>
      </c>
    </row>
    <row r="101" spans="2:28" s="35" customFormat="1" ht="12.75">
      <c r="B101" s="44" t="str">
        <f t="shared" si="25"/>
        <v>Peso</v>
      </c>
      <c r="C101" s="35">
        <f t="shared" si="26"/>
        <v>0</v>
      </c>
      <c r="D101" s="35">
        <f t="shared" si="27"/>
        <v>3.78</v>
      </c>
      <c r="E101" s="35">
        <f t="shared" si="28"/>
        <v>6.91</v>
      </c>
      <c r="F101" s="35">
        <f t="shared" si="29"/>
        <v>10.03</v>
      </c>
      <c r="G101" s="35">
        <f t="shared" si="30"/>
        <v>13.16</v>
      </c>
      <c r="H101" s="35">
        <f t="shared" si="31"/>
        <v>15.17</v>
      </c>
      <c r="I101" s="35">
        <f t="shared" si="32"/>
        <v>17.18</v>
      </c>
      <c r="J101" s="35">
        <f t="shared" si="33"/>
        <v>19.2</v>
      </c>
      <c r="K101" s="32">
        <f t="shared" si="34"/>
        <v>23</v>
      </c>
      <c r="L101" s="44" t="str">
        <f t="shared" si="35"/>
        <v>Carico</v>
      </c>
      <c r="M101" s="35">
        <f t="shared" si="36"/>
        <v>1.34350064350064</v>
      </c>
      <c r="N101" s="35">
        <f t="shared" si="37"/>
        <v>7.101360544217691</v>
      </c>
      <c r="O101" s="35">
        <f t="shared" si="38"/>
        <v>16.12200772200772</v>
      </c>
      <c r="P101" s="35">
        <f t="shared" si="39"/>
        <v>29.46104982533554</v>
      </c>
      <c r="Q101" s="35">
        <f t="shared" si="40"/>
        <v>45.295164552307426</v>
      </c>
      <c r="R101" s="35">
        <f t="shared" si="41"/>
        <v>54.219847398418835</v>
      </c>
      <c r="S101" s="35">
        <f t="shared" si="42"/>
        <v>62.37681559110132</v>
      </c>
      <c r="T101" s="35">
        <f t="shared" si="43"/>
        <v>69.09431880860453</v>
      </c>
      <c r="U101" s="36">
        <f t="shared" si="44"/>
        <v>79.65039529325244</v>
      </c>
      <c r="V101" s="36"/>
      <c r="W101" s="36">
        <f t="shared" si="45"/>
        <v>79.5352380952381</v>
      </c>
      <c r="X101" s="36"/>
      <c r="Y101" s="47">
        <v>99</v>
      </c>
      <c r="Z101" s="46">
        <f>IF(AND(Y101&gt;M101,Y101&lt;=U101,Y101&lt;=W101),_XLL.SPLINE(M101:U101,C101:K101,Y101),0)</f>
        <v>0</v>
      </c>
      <c r="AA101" s="34">
        <f t="shared" si="24"/>
        <v>0</v>
      </c>
      <c r="AB101" s="35">
        <f t="shared" si="46"/>
        <v>6.035238095238096</v>
      </c>
    </row>
    <row r="102" spans="2:28" s="35" customFormat="1" ht="12.75">
      <c r="B102" s="44" t="str">
        <f t="shared" si="25"/>
        <v>Peso</v>
      </c>
      <c r="C102" s="35">
        <f t="shared" si="26"/>
        <v>0</v>
      </c>
      <c r="D102" s="35">
        <f t="shared" si="27"/>
        <v>3.78</v>
      </c>
      <c r="E102" s="35">
        <f t="shared" si="28"/>
        <v>6.91</v>
      </c>
      <c r="F102" s="35">
        <f t="shared" si="29"/>
        <v>10.03</v>
      </c>
      <c r="G102" s="35">
        <f t="shared" si="30"/>
        <v>13.16</v>
      </c>
      <c r="H102" s="35">
        <f t="shared" si="31"/>
        <v>15.17</v>
      </c>
      <c r="I102" s="35">
        <f t="shared" si="32"/>
        <v>17.18</v>
      </c>
      <c r="J102" s="35">
        <f t="shared" si="33"/>
        <v>19.2</v>
      </c>
      <c r="K102" s="32">
        <f t="shared" si="34"/>
        <v>23</v>
      </c>
      <c r="L102" s="44" t="str">
        <f t="shared" si="35"/>
        <v>Carico</v>
      </c>
      <c r="M102" s="35">
        <f t="shared" si="36"/>
        <v>1.34350064350064</v>
      </c>
      <c r="N102" s="35">
        <f t="shared" si="37"/>
        <v>7.101360544217691</v>
      </c>
      <c r="O102" s="35">
        <f t="shared" si="38"/>
        <v>16.12200772200772</v>
      </c>
      <c r="P102" s="35">
        <f t="shared" si="39"/>
        <v>29.46104982533554</v>
      </c>
      <c r="Q102" s="35">
        <f t="shared" si="40"/>
        <v>45.295164552307426</v>
      </c>
      <c r="R102" s="35">
        <f t="shared" si="41"/>
        <v>54.219847398418835</v>
      </c>
      <c r="S102" s="35">
        <f t="shared" si="42"/>
        <v>62.37681559110132</v>
      </c>
      <c r="T102" s="35">
        <f t="shared" si="43"/>
        <v>69.09431880860453</v>
      </c>
      <c r="U102" s="36">
        <f t="shared" si="44"/>
        <v>79.65039529325244</v>
      </c>
      <c r="V102" s="36"/>
      <c r="W102" s="36">
        <f t="shared" si="45"/>
        <v>79.5352380952381</v>
      </c>
      <c r="X102" s="36"/>
      <c r="Y102" s="47">
        <v>100</v>
      </c>
      <c r="Z102" s="46">
        <f>IF(AND(Y102&gt;M102,Y102&lt;=U102,Y102&lt;=W102),_XLL.SPLINE(M102:U102,C102:K102,Y102),0)</f>
        <v>0</v>
      </c>
      <c r="AA102" s="34">
        <f t="shared" si="24"/>
        <v>0</v>
      </c>
      <c r="AB102" s="35">
        <f t="shared" si="46"/>
        <v>6.035238095238096</v>
      </c>
    </row>
    <row r="103" spans="2:28" s="35" customFormat="1" ht="12.75">
      <c r="B103" s="44" t="str">
        <f t="shared" si="25"/>
        <v>Peso</v>
      </c>
      <c r="C103" s="35">
        <f t="shared" si="26"/>
        <v>0</v>
      </c>
      <c r="D103" s="35">
        <f t="shared" si="27"/>
        <v>3.78</v>
      </c>
      <c r="E103" s="35">
        <f t="shared" si="28"/>
        <v>6.91</v>
      </c>
      <c r="F103" s="35">
        <f t="shared" si="29"/>
        <v>10.03</v>
      </c>
      <c r="G103" s="35">
        <f t="shared" si="30"/>
        <v>13.16</v>
      </c>
      <c r="H103" s="35">
        <f t="shared" si="31"/>
        <v>15.17</v>
      </c>
      <c r="I103" s="35">
        <f t="shared" si="32"/>
        <v>17.18</v>
      </c>
      <c r="J103" s="35">
        <f t="shared" si="33"/>
        <v>19.2</v>
      </c>
      <c r="K103" s="32">
        <f t="shared" si="34"/>
        <v>23</v>
      </c>
      <c r="L103" s="44" t="str">
        <f t="shared" si="35"/>
        <v>Carico</v>
      </c>
      <c r="M103" s="35">
        <f t="shared" si="36"/>
        <v>1.34350064350064</v>
      </c>
      <c r="N103" s="35">
        <f t="shared" si="37"/>
        <v>7.101360544217691</v>
      </c>
      <c r="O103" s="35">
        <f t="shared" si="38"/>
        <v>16.12200772200772</v>
      </c>
      <c r="P103" s="35">
        <f t="shared" si="39"/>
        <v>29.46104982533554</v>
      </c>
      <c r="Q103" s="35">
        <f t="shared" si="40"/>
        <v>45.295164552307426</v>
      </c>
      <c r="R103" s="35">
        <f t="shared" si="41"/>
        <v>54.219847398418835</v>
      </c>
      <c r="S103" s="35">
        <f t="shared" si="42"/>
        <v>62.37681559110132</v>
      </c>
      <c r="T103" s="35">
        <f t="shared" si="43"/>
        <v>69.09431880860453</v>
      </c>
      <c r="U103" s="36">
        <f t="shared" si="44"/>
        <v>79.65039529325244</v>
      </c>
      <c r="V103" s="36"/>
      <c r="W103" s="36">
        <f t="shared" si="45"/>
        <v>79.5352380952381</v>
      </c>
      <c r="X103" s="36"/>
      <c r="Y103" s="47">
        <v>101</v>
      </c>
      <c r="Z103" s="46">
        <f>IF(AND(Y103&gt;M103,Y103&lt;=U103,Y103&lt;=W103),_XLL.SPLINE(M103:U103,C103:K103,Y103),0)</f>
        <v>0</v>
      </c>
      <c r="AA103" s="34">
        <f t="shared" si="24"/>
        <v>0</v>
      </c>
      <c r="AB103" s="35">
        <f t="shared" si="46"/>
        <v>6.035238095238096</v>
      </c>
    </row>
    <row r="104" spans="2:28" s="35" customFormat="1" ht="12.75">
      <c r="B104" s="44" t="str">
        <f t="shared" si="25"/>
        <v>Peso</v>
      </c>
      <c r="C104" s="35">
        <f t="shared" si="26"/>
        <v>0</v>
      </c>
      <c r="D104" s="35">
        <f t="shared" si="27"/>
        <v>3.78</v>
      </c>
      <c r="E104" s="35">
        <f t="shared" si="28"/>
        <v>6.91</v>
      </c>
      <c r="F104" s="35">
        <f t="shared" si="29"/>
        <v>10.03</v>
      </c>
      <c r="G104" s="35">
        <f t="shared" si="30"/>
        <v>13.16</v>
      </c>
      <c r="H104" s="35">
        <f t="shared" si="31"/>
        <v>15.17</v>
      </c>
      <c r="I104" s="35">
        <f t="shared" si="32"/>
        <v>17.18</v>
      </c>
      <c r="J104" s="35">
        <f t="shared" si="33"/>
        <v>19.2</v>
      </c>
      <c r="K104" s="32">
        <f t="shared" si="34"/>
        <v>23</v>
      </c>
      <c r="L104" s="44" t="str">
        <f t="shared" si="35"/>
        <v>Carico</v>
      </c>
      <c r="M104" s="35">
        <f t="shared" si="36"/>
        <v>1.34350064350064</v>
      </c>
      <c r="N104" s="35">
        <f t="shared" si="37"/>
        <v>7.101360544217691</v>
      </c>
      <c r="O104" s="35">
        <f t="shared" si="38"/>
        <v>16.12200772200772</v>
      </c>
      <c r="P104" s="35">
        <f t="shared" si="39"/>
        <v>29.46104982533554</v>
      </c>
      <c r="Q104" s="35">
        <f t="shared" si="40"/>
        <v>45.295164552307426</v>
      </c>
      <c r="R104" s="35">
        <f t="shared" si="41"/>
        <v>54.219847398418835</v>
      </c>
      <c r="S104" s="35">
        <f t="shared" si="42"/>
        <v>62.37681559110132</v>
      </c>
      <c r="T104" s="35">
        <f t="shared" si="43"/>
        <v>69.09431880860453</v>
      </c>
      <c r="U104" s="36">
        <f t="shared" si="44"/>
        <v>79.65039529325244</v>
      </c>
      <c r="V104" s="36"/>
      <c r="W104" s="36">
        <f t="shared" si="45"/>
        <v>79.5352380952381</v>
      </c>
      <c r="X104" s="36"/>
      <c r="Y104" s="47">
        <v>102</v>
      </c>
      <c r="Z104" s="46">
        <f>IF(AND(Y104&gt;M104,Y104&lt;=U104,Y104&lt;=W104),_XLL.SPLINE(M104:U104,C104:K104,Y104),0)</f>
        <v>0</v>
      </c>
      <c r="AA104" s="34">
        <f t="shared" si="24"/>
        <v>0</v>
      </c>
      <c r="AB104" s="35">
        <f t="shared" si="46"/>
        <v>6.035238095238096</v>
      </c>
    </row>
    <row r="105" spans="2:28" s="35" customFormat="1" ht="12.75">
      <c r="B105" s="44" t="str">
        <f t="shared" si="25"/>
        <v>Peso</v>
      </c>
      <c r="C105" s="35">
        <f t="shared" si="26"/>
        <v>0</v>
      </c>
      <c r="D105" s="35">
        <f t="shared" si="27"/>
        <v>3.78</v>
      </c>
      <c r="E105" s="35">
        <f t="shared" si="28"/>
        <v>6.91</v>
      </c>
      <c r="F105" s="35">
        <f t="shared" si="29"/>
        <v>10.03</v>
      </c>
      <c r="G105" s="35">
        <f t="shared" si="30"/>
        <v>13.16</v>
      </c>
      <c r="H105" s="35">
        <f t="shared" si="31"/>
        <v>15.17</v>
      </c>
      <c r="I105" s="35">
        <f t="shared" si="32"/>
        <v>17.18</v>
      </c>
      <c r="J105" s="35">
        <f t="shared" si="33"/>
        <v>19.2</v>
      </c>
      <c r="K105" s="32">
        <f t="shared" si="34"/>
        <v>23</v>
      </c>
      <c r="L105" s="44" t="str">
        <f t="shared" si="35"/>
        <v>Carico</v>
      </c>
      <c r="M105" s="35">
        <f t="shared" si="36"/>
        <v>1.34350064350064</v>
      </c>
      <c r="N105" s="35">
        <f t="shared" si="37"/>
        <v>7.101360544217691</v>
      </c>
      <c r="O105" s="35">
        <f t="shared" si="38"/>
        <v>16.12200772200772</v>
      </c>
      <c r="P105" s="35">
        <f t="shared" si="39"/>
        <v>29.46104982533554</v>
      </c>
      <c r="Q105" s="35">
        <f t="shared" si="40"/>
        <v>45.295164552307426</v>
      </c>
      <c r="R105" s="35">
        <f t="shared" si="41"/>
        <v>54.219847398418835</v>
      </c>
      <c r="S105" s="35">
        <f t="shared" si="42"/>
        <v>62.37681559110132</v>
      </c>
      <c r="T105" s="35">
        <f t="shared" si="43"/>
        <v>69.09431880860453</v>
      </c>
      <c r="U105" s="36">
        <f t="shared" si="44"/>
        <v>79.65039529325244</v>
      </c>
      <c r="V105" s="36"/>
      <c r="W105" s="36">
        <f t="shared" si="45"/>
        <v>79.5352380952381</v>
      </c>
      <c r="X105" s="36"/>
      <c r="Y105" s="47">
        <v>103</v>
      </c>
      <c r="Z105" s="46">
        <f>IF(AND(Y105&gt;M105,Y105&lt;=U105,Y105&lt;=W105),_XLL.SPLINE(M105:U105,C105:K105,Y105),0)</f>
        <v>0</v>
      </c>
      <c r="AA105" s="34">
        <f t="shared" si="24"/>
        <v>0</v>
      </c>
      <c r="AB105" s="35">
        <f t="shared" si="46"/>
        <v>6.035238095238096</v>
      </c>
    </row>
    <row r="106" spans="2:28" s="35" customFormat="1" ht="12.75">
      <c r="B106" s="44" t="str">
        <f t="shared" si="25"/>
        <v>Peso</v>
      </c>
      <c r="C106" s="35">
        <f t="shared" si="26"/>
        <v>0</v>
      </c>
      <c r="D106" s="35">
        <f t="shared" si="27"/>
        <v>3.78</v>
      </c>
      <c r="E106" s="35">
        <f t="shared" si="28"/>
        <v>6.91</v>
      </c>
      <c r="F106" s="35">
        <f t="shared" si="29"/>
        <v>10.03</v>
      </c>
      <c r="G106" s="35">
        <f t="shared" si="30"/>
        <v>13.16</v>
      </c>
      <c r="H106" s="35">
        <f t="shared" si="31"/>
        <v>15.17</v>
      </c>
      <c r="I106" s="35">
        <f t="shared" si="32"/>
        <v>17.18</v>
      </c>
      <c r="J106" s="35">
        <f t="shared" si="33"/>
        <v>19.2</v>
      </c>
      <c r="K106" s="32">
        <f t="shared" si="34"/>
        <v>23</v>
      </c>
      <c r="L106" s="44" t="str">
        <f t="shared" si="35"/>
        <v>Carico</v>
      </c>
      <c r="M106" s="35">
        <f t="shared" si="36"/>
        <v>1.34350064350064</v>
      </c>
      <c r="N106" s="35">
        <f t="shared" si="37"/>
        <v>7.101360544217691</v>
      </c>
      <c r="O106" s="35">
        <f t="shared" si="38"/>
        <v>16.12200772200772</v>
      </c>
      <c r="P106" s="35">
        <f t="shared" si="39"/>
        <v>29.46104982533554</v>
      </c>
      <c r="Q106" s="35">
        <f t="shared" si="40"/>
        <v>45.295164552307426</v>
      </c>
      <c r="R106" s="35">
        <f t="shared" si="41"/>
        <v>54.219847398418835</v>
      </c>
      <c r="S106" s="35">
        <f t="shared" si="42"/>
        <v>62.37681559110132</v>
      </c>
      <c r="T106" s="35">
        <f t="shared" si="43"/>
        <v>69.09431880860453</v>
      </c>
      <c r="U106" s="36">
        <f t="shared" si="44"/>
        <v>79.65039529325244</v>
      </c>
      <c r="V106" s="36"/>
      <c r="W106" s="36">
        <f t="shared" si="45"/>
        <v>79.5352380952381</v>
      </c>
      <c r="X106" s="36"/>
      <c r="Y106" s="47">
        <v>104</v>
      </c>
      <c r="Z106" s="46">
        <f>IF(AND(Y106&gt;M106,Y106&lt;=U106,Y106&lt;=W106),_XLL.SPLINE(M106:U106,C106:K106,Y106),0)</f>
        <v>0</v>
      </c>
      <c r="AA106" s="34">
        <f t="shared" si="24"/>
        <v>0</v>
      </c>
      <c r="AB106" s="35">
        <f t="shared" si="46"/>
        <v>6.035238095238096</v>
      </c>
    </row>
    <row r="107" spans="2:28" s="35" customFormat="1" ht="12.75">
      <c r="B107" s="44" t="str">
        <f t="shared" si="25"/>
        <v>Peso</v>
      </c>
      <c r="C107" s="35">
        <f t="shared" si="26"/>
        <v>0</v>
      </c>
      <c r="D107" s="35">
        <f t="shared" si="27"/>
        <v>3.78</v>
      </c>
      <c r="E107" s="35">
        <f t="shared" si="28"/>
        <v>6.91</v>
      </c>
      <c r="F107" s="35">
        <f t="shared" si="29"/>
        <v>10.03</v>
      </c>
      <c r="G107" s="35">
        <f t="shared" si="30"/>
        <v>13.16</v>
      </c>
      <c r="H107" s="35">
        <f t="shared" si="31"/>
        <v>15.17</v>
      </c>
      <c r="I107" s="35">
        <f t="shared" si="32"/>
        <v>17.18</v>
      </c>
      <c r="J107" s="35">
        <f t="shared" si="33"/>
        <v>19.2</v>
      </c>
      <c r="K107" s="32">
        <f t="shared" si="34"/>
        <v>23</v>
      </c>
      <c r="L107" s="44" t="str">
        <f t="shared" si="35"/>
        <v>Carico</v>
      </c>
      <c r="M107" s="35">
        <f t="shared" si="36"/>
        <v>1.34350064350064</v>
      </c>
      <c r="N107" s="35">
        <f t="shared" si="37"/>
        <v>7.101360544217691</v>
      </c>
      <c r="O107" s="35">
        <f t="shared" si="38"/>
        <v>16.12200772200772</v>
      </c>
      <c r="P107" s="35">
        <f t="shared" si="39"/>
        <v>29.46104982533554</v>
      </c>
      <c r="Q107" s="35">
        <f t="shared" si="40"/>
        <v>45.295164552307426</v>
      </c>
      <c r="R107" s="35">
        <f t="shared" si="41"/>
        <v>54.219847398418835</v>
      </c>
      <c r="S107" s="35">
        <f t="shared" si="42"/>
        <v>62.37681559110132</v>
      </c>
      <c r="T107" s="35">
        <f t="shared" si="43"/>
        <v>69.09431880860453</v>
      </c>
      <c r="U107" s="36">
        <f t="shared" si="44"/>
        <v>79.65039529325244</v>
      </c>
      <c r="V107" s="36"/>
      <c r="W107" s="36">
        <f t="shared" si="45"/>
        <v>79.5352380952381</v>
      </c>
      <c r="X107" s="36"/>
      <c r="Y107" s="47">
        <v>105</v>
      </c>
      <c r="Z107" s="46">
        <f>IF(AND(Y107&gt;M107,Y107&lt;=U107,Y107&lt;=W107),_XLL.SPLINE(M107:U107,C107:K107,Y107),0)</f>
        <v>0</v>
      </c>
      <c r="AA107" s="34">
        <f t="shared" si="24"/>
        <v>0</v>
      </c>
      <c r="AB107" s="35">
        <f t="shared" si="46"/>
        <v>6.035238095238096</v>
      </c>
    </row>
    <row r="108" spans="2:28" s="35" customFormat="1" ht="12.75">
      <c r="B108" s="44" t="str">
        <f t="shared" si="25"/>
        <v>Peso</v>
      </c>
      <c r="C108" s="35">
        <f t="shared" si="26"/>
        <v>0</v>
      </c>
      <c r="D108" s="35">
        <f t="shared" si="27"/>
        <v>3.78</v>
      </c>
      <c r="E108" s="35">
        <f t="shared" si="28"/>
        <v>6.91</v>
      </c>
      <c r="F108" s="35">
        <f t="shared" si="29"/>
        <v>10.03</v>
      </c>
      <c r="G108" s="35">
        <f t="shared" si="30"/>
        <v>13.16</v>
      </c>
      <c r="H108" s="35">
        <f t="shared" si="31"/>
        <v>15.17</v>
      </c>
      <c r="I108" s="35">
        <f t="shared" si="32"/>
        <v>17.18</v>
      </c>
      <c r="J108" s="35">
        <f t="shared" si="33"/>
        <v>19.2</v>
      </c>
      <c r="K108" s="32">
        <f t="shared" si="34"/>
        <v>23</v>
      </c>
      <c r="L108" s="44" t="str">
        <f t="shared" si="35"/>
        <v>Carico</v>
      </c>
      <c r="M108" s="35">
        <f t="shared" si="36"/>
        <v>1.34350064350064</v>
      </c>
      <c r="N108" s="35">
        <f t="shared" si="37"/>
        <v>7.101360544217691</v>
      </c>
      <c r="O108" s="35">
        <f t="shared" si="38"/>
        <v>16.12200772200772</v>
      </c>
      <c r="P108" s="35">
        <f t="shared" si="39"/>
        <v>29.46104982533554</v>
      </c>
      <c r="Q108" s="35">
        <f t="shared" si="40"/>
        <v>45.295164552307426</v>
      </c>
      <c r="R108" s="35">
        <f t="shared" si="41"/>
        <v>54.219847398418835</v>
      </c>
      <c r="S108" s="35">
        <f t="shared" si="42"/>
        <v>62.37681559110132</v>
      </c>
      <c r="T108" s="35">
        <f t="shared" si="43"/>
        <v>69.09431880860453</v>
      </c>
      <c r="U108" s="36">
        <f t="shared" si="44"/>
        <v>79.65039529325244</v>
      </c>
      <c r="V108" s="36"/>
      <c r="W108" s="36">
        <f t="shared" si="45"/>
        <v>79.5352380952381</v>
      </c>
      <c r="X108" s="36"/>
      <c r="Y108" s="47">
        <v>106</v>
      </c>
      <c r="Z108" s="46">
        <f>IF(AND(Y108&gt;M108,Y108&lt;=U108,Y108&lt;=W108),_XLL.SPLINE(M108:U108,C108:K108,Y108),0)</f>
        <v>0</v>
      </c>
      <c r="AA108" s="34">
        <f t="shared" si="24"/>
        <v>0</v>
      </c>
      <c r="AB108" s="35">
        <f t="shared" si="46"/>
        <v>6.035238095238096</v>
      </c>
    </row>
    <row r="109" spans="2:28" s="35" customFormat="1" ht="12.75">
      <c r="B109" s="44" t="str">
        <f t="shared" si="25"/>
        <v>Peso</v>
      </c>
      <c r="C109" s="35">
        <f t="shared" si="26"/>
        <v>0</v>
      </c>
      <c r="D109" s="35">
        <f t="shared" si="27"/>
        <v>3.78</v>
      </c>
      <c r="E109" s="35">
        <f t="shared" si="28"/>
        <v>6.91</v>
      </c>
      <c r="F109" s="35">
        <f t="shared" si="29"/>
        <v>10.03</v>
      </c>
      <c r="G109" s="35">
        <f t="shared" si="30"/>
        <v>13.16</v>
      </c>
      <c r="H109" s="35">
        <f t="shared" si="31"/>
        <v>15.17</v>
      </c>
      <c r="I109" s="35">
        <f t="shared" si="32"/>
        <v>17.18</v>
      </c>
      <c r="J109" s="35">
        <f t="shared" si="33"/>
        <v>19.2</v>
      </c>
      <c r="K109" s="32">
        <f t="shared" si="34"/>
        <v>23</v>
      </c>
      <c r="L109" s="44" t="str">
        <f t="shared" si="35"/>
        <v>Carico</v>
      </c>
      <c r="M109" s="35">
        <f t="shared" si="36"/>
        <v>1.34350064350064</v>
      </c>
      <c r="N109" s="35">
        <f t="shared" si="37"/>
        <v>7.101360544217691</v>
      </c>
      <c r="O109" s="35">
        <f t="shared" si="38"/>
        <v>16.12200772200772</v>
      </c>
      <c r="P109" s="35">
        <f t="shared" si="39"/>
        <v>29.46104982533554</v>
      </c>
      <c r="Q109" s="35">
        <f t="shared" si="40"/>
        <v>45.295164552307426</v>
      </c>
      <c r="R109" s="35">
        <f t="shared" si="41"/>
        <v>54.219847398418835</v>
      </c>
      <c r="S109" s="35">
        <f t="shared" si="42"/>
        <v>62.37681559110132</v>
      </c>
      <c r="T109" s="35">
        <f t="shared" si="43"/>
        <v>69.09431880860453</v>
      </c>
      <c r="U109" s="36">
        <f t="shared" si="44"/>
        <v>79.65039529325244</v>
      </c>
      <c r="V109" s="36"/>
      <c r="W109" s="36">
        <f t="shared" si="45"/>
        <v>79.5352380952381</v>
      </c>
      <c r="X109" s="36"/>
      <c r="Y109" s="47">
        <v>107</v>
      </c>
      <c r="Z109" s="46">
        <f>IF(AND(Y109&gt;M109,Y109&lt;=U109,Y109&lt;=W109),_XLL.SPLINE(M109:U109,C109:K109,Y109),0)</f>
        <v>0</v>
      </c>
      <c r="AA109" s="34">
        <f t="shared" si="24"/>
        <v>0</v>
      </c>
      <c r="AB109" s="35">
        <f t="shared" si="46"/>
        <v>6.035238095238096</v>
      </c>
    </row>
    <row r="110" spans="2:28" s="35" customFormat="1" ht="12.75">
      <c r="B110" s="44" t="str">
        <f t="shared" si="25"/>
        <v>Peso</v>
      </c>
      <c r="C110" s="35">
        <f t="shared" si="26"/>
        <v>0</v>
      </c>
      <c r="D110" s="35">
        <f t="shared" si="27"/>
        <v>3.78</v>
      </c>
      <c r="E110" s="35">
        <f t="shared" si="28"/>
        <v>6.91</v>
      </c>
      <c r="F110" s="35">
        <f t="shared" si="29"/>
        <v>10.03</v>
      </c>
      <c r="G110" s="35">
        <f t="shared" si="30"/>
        <v>13.16</v>
      </c>
      <c r="H110" s="35">
        <f t="shared" si="31"/>
        <v>15.17</v>
      </c>
      <c r="I110" s="35">
        <f t="shared" si="32"/>
        <v>17.18</v>
      </c>
      <c r="J110" s="35">
        <f t="shared" si="33"/>
        <v>19.2</v>
      </c>
      <c r="K110" s="32">
        <f t="shared" si="34"/>
        <v>23</v>
      </c>
      <c r="L110" s="44" t="str">
        <f t="shared" si="35"/>
        <v>Carico</v>
      </c>
      <c r="M110" s="35">
        <f t="shared" si="36"/>
        <v>1.34350064350064</v>
      </c>
      <c r="N110" s="35">
        <f t="shared" si="37"/>
        <v>7.101360544217691</v>
      </c>
      <c r="O110" s="35">
        <f t="shared" si="38"/>
        <v>16.12200772200772</v>
      </c>
      <c r="P110" s="35">
        <f t="shared" si="39"/>
        <v>29.46104982533554</v>
      </c>
      <c r="Q110" s="35">
        <f t="shared" si="40"/>
        <v>45.295164552307426</v>
      </c>
      <c r="R110" s="35">
        <f t="shared" si="41"/>
        <v>54.219847398418835</v>
      </c>
      <c r="S110" s="35">
        <f t="shared" si="42"/>
        <v>62.37681559110132</v>
      </c>
      <c r="T110" s="35">
        <f t="shared" si="43"/>
        <v>69.09431880860453</v>
      </c>
      <c r="U110" s="36">
        <f t="shared" si="44"/>
        <v>79.65039529325244</v>
      </c>
      <c r="V110" s="36"/>
      <c r="W110" s="36">
        <f t="shared" si="45"/>
        <v>79.5352380952381</v>
      </c>
      <c r="X110" s="36"/>
      <c r="Y110" s="47">
        <v>108</v>
      </c>
      <c r="Z110" s="46">
        <f>IF(AND(Y110&gt;M110,Y110&lt;=U110,Y110&lt;=W110),_XLL.SPLINE(M110:U110,C110:K110,Y110),0)</f>
        <v>0</v>
      </c>
      <c r="AA110" s="34">
        <f t="shared" si="24"/>
        <v>0</v>
      </c>
      <c r="AB110" s="35">
        <f t="shared" si="46"/>
        <v>6.035238095238096</v>
      </c>
    </row>
    <row r="111" spans="2:28" s="35" customFormat="1" ht="12.75">
      <c r="B111" s="44" t="str">
        <f t="shared" si="25"/>
        <v>Peso</v>
      </c>
      <c r="C111" s="35">
        <f t="shared" si="26"/>
        <v>0</v>
      </c>
      <c r="D111" s="35">
        <f t="shared" si="27"/>
        <v>3.78</v>
      </c>
      <c r="E111" s="35">
        <f t="shared" si="28"/>
        <v>6.91</v>
      </c>
      <c r="F111" s="35">
        <f t="shared" si="29"/>
        <v>10.03</v>
      </c>
      <c r="G111" s="35">
        <f t="shared" si="30"/>
        <v>13.16</v>
      </c>
      <c r="H111" s="35">
        <f t="shared" si="31"/>
        <v>15.17</v>
      </c>
      <c r="I111" s="35">
        <f t="shared" si="32"/>
        <v>17.18</v>
      </c>
      <c r="J111" s="35">
        <f t="shared" si="33"/>
        <v>19.2</v>
      </c>
      <c r="K111" s="32">
        <f t="shared" si="34"/>
        <v>23</v>
      </c>
      <c r="L111" s="44" t="str">
        <f t="shared" si="35"/>
        <v>Carico</v>
      </c>
      <c r="M111" s="35">
        <f t="shared" si="36"/>
        <v>1.34350064350064</v>
      </c>
      <c r="N111" s="35">
        <f t="shared" si="37"/>
        <v>7.101360544217691</v>
      </c>
      <c r="O111" s="35">
        <f t="shared" si="38"/>
        <v>16.12200772200772</v>
      </c>
      <c r="P111" s="35">
        <f t="shared" si="39"/>
        <v>29.46104982533554</v>
      </c>
      <c r="Q111" s="35">
        <f t="shared" si="40"/>
        <v>45.295164552307426</v>
      </c>
      <c r="R111" s="35">
        <f t="shared" si="41"/>
        <v>54.219847398418835</v>
      </c>
      <c r="S111" s="35">
        <f t="shared" si="42"/>
        <v>62.37681559110132</v>
      </c>
      <c r="T111" s="35">
        <f t="shared" si="43"/>
        <v>69.09431880860453</v>
      </c>
      <c r="U111" s="36">
        <f t="shared" si="44"/>
        <v>79.65039529325244</v>
      </c>
      <c r="V111" s="36"/>
      <c r="W111" s="36">
        <f t="shared" si="45"/>
        <v>79.5352380952381</v>
      </c>
      <c r="X111" s="36"/>
      <c r="Y111" s="47">
        <v>109</v>
      </c>
      <c r="Z111" s="46">
        <f>IF(AND(Y111&gt;M111,Y111&lt;=U111,Y111&lt;=W111),_XLL.SPLINE(M111:U111,C111:K111,Y111),0)</f>
        <v>0</v>
      </c>
      <c r="AA111" s="34">
        <f t="shared" si="24"/>
        <v>0</v>
      </c>
      <c r="AB111" s="35">
        <f t="shared" si="46"/>
        <v>6.035238095238096</v>
      </c>
    </row>
    <row r="112" spans="2:28" s="35" customFormat="1" ht="12.75">
      <c r="B112" s="44" t="str">
        <f t="shared" si="25"/>
        <v>Peso</v>
      </c>
      <c r="C112" s="35">
        <f t="shared" si="26"/>
        <v>0</v>
      </c>
      <c r="D112" s="35">
        <f t="shared" si="27"/>
        <v>3.78</v>
      </c>
      <c r="E112" s="35">
        <f t="shared" si="28"/>
        <v>6.91</v>
      </c>
      <c r="F112" s="35">
        <f t="shared" si="29"/>
        <v>10.03</v>
      </c>
      <c r="G112" s="35">
        <f t="shared" si="30"/>
        <v>13.16</v>
      </c>
      <c r="H112" s="35">
        <f t="shared" si="31"/>
        <v>15.17</v>
      </c>
      <c r="I112" s="35">
        <f t="shared" si="32"/>
        <v>17.18</v>
      </c>
      <c r="J112" s="35">
        <f t="shared" si="33"/>
        <v>19.2</v>
      </c>
      <c r="K112" s="32">
        <f t="shared" si="34"/>
        <v>23</v>
      </c>
      <c r="L112" s="44" t="str">
        <f t="shared" si="35"/>
        <v>Carico</v>
      </c>
      <c r="M112" s="35">
        <f t="shared" si="36"/>
        <v>1.34350064350064</v>
      </c>
      <c r="N112" s="35">
        <f t="shared" si="37"/>
        <v>7.101360544217691</v>
      </c>
      <c r="O112" s="35">
        <f t="shared" si="38"/>
        <v>16.12200772200772</v>
      </c>
      <c r="P112" s="35">
        <f t="shared" si="39"/>
        <v>29.46104982533554</v>
      </c>
      <c r="Q112" s="35">
        <f t="shared" si="40"/>
        <v>45.295164552307426</v>
      </c>
      <c r="R112" s="35">
        <f t="shared" si="41"/>
        <v>54.219847398418835</v>
      </c>
      <c r="S112" s="35">
        <f t="shared" si="42"/>
        <v>62.37681559110132</v>
      </c>
      <c r="T112" s="35">
        <f t="shared" si="43"/>
        <v>69.09431880860453</v>
      </c>
      <c r="U112" s="36">
        <f t="shared" si="44"/>
        <v>79.65039529325244</v>
      </c>
      <c r="V112" s="36"/>
      <c r="W112" s="36">
        <f t="shared" si="45"/>
        <v>79.5352380952381</v>
      </c>
      <c r="X112" s="36"/>
      <c r="Y112" s="47">
        <v>110</v>
      </c>
      <c r="Z112" s="46">
        <f>IF(AND(Y112&gt;M112,Y112&lt;=U112,Y112&lt;=W112),_XLL.SPLINE(M112:U112,C112:K112,Y112),0)</f>
        <v>0</v>
      </c>
      <c r="AA112" s="34">
        <f t="shared" si="24"/>
        <v>0</v>
      </c>
      <c r="AB112" s="35">
        <f t="shared" si="46"/>
        <v>6.035238095238096</v>
      </c>
    </row>
    <row r="113" spans="2:28" s="35" customFormat="1" ht="12.75">
      <c r="B113" s="44" t="str">
        <f t="shared" si="25"/>
        <v>Peso</v>
      </c>
      <c r="C113" s="35">
        <f t="shared" si="26"/>
        <v>0</v>
      </c>
      <c r="D113" s="35">
        <f t="shared" si="27"/>
        <v>3.78</v>
      </c>
      <c r="E113" s="35">
        <f t="shared" si="28"/>
        <v>6.91</v>
      </c>
      <c r="F113" s="35">
        <f t="shared" si="29"/>
        <v>10.03</v>
      </c>
      <c r="G113" s="35">
        <f t="shared" si="30"/>
        <v>13.16</v>
      </c>
      <c r="H113" s="35">
        <f t="shared" si="31"/>
        <v>15.17</v>
      </c>
      <c r="I113" s="35">
        <f t="shared" si="32"/>
        <v>17.18</v>
      </c>
      <c r="J113" s="35">
        <f t="shared" si="33"/>
        <v>19.2</v>
      </c>
      <c r="K113" s="32">
        <f t="shared" si="34"/>
        <v>23</v>
      </c>
      <c r="L113" s="44" t="str">
        <f t="shared" si="35"/>
        <v>Carico</v>
      </c>
      <c r="M113" s="35">
        <f t="shared" si="36"/>
        <v>1.34350064350064</v>
      </c>
      <c r="N113" s="35">
        <f t="shared" si="37"/>
        <v>7.101360544217691</v>
      </c>
      <c r="O113" s="35">
        <f t="shared" si="38"/>
        <v>16.12200772200772</v>
      </c>
      <c r="P113" s="35">
        <f t="shared" si="39"/>
        <v>29.46104982533554</v>
      </c>
      <c r="Q113" s="35">
        <f t="shared" si="40"/>
        <v>45.295164552307426</v>
      </c>
      <c r="R113" s="35">
        <f t="shared" si="41"/>
        <v>54.219847398418835</v>
      </c>
      <c r="S113" s="35">
        <f t="shared" si="42"/>
        <v>62.37681559110132</v>
      </c>
      <c r="T113" s="35">
        <f t="shared" si="43"/>
        <v>69.09431880860453</v>
      </c>
      <c r="U113" s="36">
        <f t="shared" si="44"/>
        <v>79.65039529325244</v>
      </c>
      <c r="V113" s="36"/>
      <c r="W113" s="36">
        <f t="shared" si="45"/>
        <v>79.5352380952381</v>
      </c>
      <c r="X113" s="36"/>
      <c r="Y113" s="47">
        <v>111</v>
      </c>
      <c r="Z113" s="46">
        <f>IF(AND(Y113&gt;M113,Y113&lt;=U113,Y113&lt;=W113),_XLL.SPLINE(M113:U113,C113:K113,Y113),0)</f>
        <v>0</v>
      </c>
      <c r="AA113" s="34">
        <f t="shared" si="24"/>
        <v>0</v>
      </c>
      <c r="AB113" s="35">
        <f t="shared" si="46"/>
        <v>6.035238095238096</v>
      </c>
    </row>
    <row r="114" spans="2:28" s="35" customFormat="1" ht="12.75">
      <c r="B114" s="44" t="str">
        <f t="shared" si="25"/>
        <v>Peso</v>
      </c>
      <c r="C114" s="35">
        <f t="shared" si="26"/>
        <v>0</v>
      </c>
      <c r="D114" s="35">
        <f t="shared" si="27"/>
        <v>3.78</v>
      </c>
      <c r="E114" s="35">
        <f t="shared" si="28"/>
        <v>6.91</v>
      </c>
      <c r="F114" s="35">
        <f t="shared" si="29"/>
        <v>10.03</v>
      </c>
      <c r="G114" s="35">
        <f t="shared" si="30"/>
        <v>13.16</v>
      </c>
      <c r="H114" s="35">
        <f t="shared" si="31"/>
        <v>15.17</v>
      </c>
      <c r="I114" s="35">
        <f t="shared" si="32"/>
        <v>17.18</v>
      </c>
      <c r="J114" s="35">
        <f t="shared" si="33"/>
        <v>19.2</v>
      </c>
      <c r="K114" s="32">
        <f t="shared" si="34"/>
        <v>23</v>
      </c>
      <c r="L114" s="44" t="str">
        <f t="shared" si="35"/>
        <v>Carico</v>
      </c>
      <c r="M114" s="35">
        <f t="shared" si="36"/>
        <v>1.34350064350064</v>
      </c>
      <c r="N114" s="35">
        <f t="shared" si="37"/>
        <v>7.101360544217691</v>
      </c>
      <c r="O114" s="35">
        <f t="shared" si="38"/>
        <v>16.12200772200772</v>
      </c>
      <c r="P114" s="35">
        <f t="shared" si="39"/>
        <v>29.46104982533554</v>
      </c>
      <c r="Q114" s="35">
        <f t="shared" si="40"/>
        <v>45.295164552307426</v>
      </c>
      <c r="R114" s="35">
        <f t="shared" si="41"/>
        <v>54.219847398418835</v>
      </c>
      <c r="S114" s="35">
        <f t="shared" si="42"/>
        <v>62.37681559110132</v>
      </c>
      <c r="T114" s="35">
        <f t="shared" si="43"/>
        <v>69.09431880860453</v>
      </c>
      <c r="U114" s="36">
        <f t="shared" si="44"/>
        <v>79.65039529325244</v>
      </c>
      <c r="V114" s="36"/>
      <c r="W114" s="36">
        <f t="shared" si="45"/>
        <v>79.5352380952381</v>
      </c>
      <c r="X114" s="36"/>
      <c r="Y114" s="47">
        <v>112</v>
      </c>
      <c r="Z114" s="46">
        <f>IF(AND(Y114&gt;M114,Y114&lt;=U114,Y114&lt;=W114),_XLL.SPLINE(M114:U114,C114:K114,Y114),0)</f>
        <v>0</v>
      </c>
      <c r="AA114" s="34">
        <f t="shared" si="24"/>
        <v>0</v>
      </c>
      <c r="AB114" s="35">
        <f t="shared" si="46"/>
        <v>6.035238095238096</v>
      </c>
    </row>
    <row r="115" spans="2:28" s="35" customFormat="1" ht="12.75">
      <c r="B115" s="44" t="str">
        <f t="shared" si="25"/>
        <v>Peso</v>
      </c>
      <c r="C115" s="35">
        <f t="shared" si="26"/>
        <v>0</v>
      </c>
      <c r="D115" s="35">
        <f t="shared" si="27"/>
        <v>3.78</v>
      </c>
      <c r="E115" s="35">
        <f t="shared" si="28"/>
        <v>6.91</v>
      </c>
      <c r="F115" s="35">
        <f t="shared" si="29"/>
        <v>10.03</v>
      </c>
      <c r="G115" s="35">
        <f t="shared" si="30"/>
        <v>13.16</v>
      </c>
      <c r="H115" s="35">
        <f t="shared" si="31"/>
        <v>15.17</v>
      </c>
      <c r="I115" s="35">
        <f t="shared" si="32"/>
        <v>17.18</v>
      </c>
      <c r="J115" s="35">
        <f t="shared" si="33"/>
        <v>19.2</v>
      </c>
      <c r="K115" s="32">
        <f t="shared" si="34"/>
        <v>23</v>
      </c>
      <c r="L115" s="44" t="str">
        <f t="shared" si="35"/>
        <v>Carico</v>
      </c>
      <c r="M115" s="35">
        <f t="shared" si="36"/>
        <v>1.34350064350064</v>
      </c>
      <c r="N115" s="35">
        <f t="shared" si="37"/>
        <v>7.101360544217691</v>
      </c>
      <c r="O115" s="35">
        <f t="shared" si="38"/>
        <v>16.12200772200772</v>
      </c>
      <c r="P115" s="35">
        <f t="shared" si="39"/>
        <v>29.46104982533554</v>
      </c>
      <c r="Q115" s="35">
        <f t="shared" si="40"/>
        <v>45.295164552307426</v>
      </c>
      <c r="R115" s="35">
        <f t="shared" si="41"/>
        <v>54.219847398418835</v>
      </c>
      <c r="S115" s="35">
        <f t="shared" si="42"/>
        <v>62.37681559110132</v>
      </c>
      <c r="T115" s="35">
        <f t="shared" si="43"/>
        <v>69.09431880860453</v>
      </c>
      <c r="U115" s="36">
        <f t="shared" si="44"/>
        <v>79.65039529325244</v>
      </c>
      <c r="V115" s="36"/>
      <c r="W115" s="36">
        <f t="shared" si="45"/>
        <v>79.5352380952381</v>
      </c>
      <c r="X115" s="36"/>
      <c r="Y115" s="47">
        <v>113</v>
      </c>
      <c r="Z115" s="46">
        <f>IF(AND(Y115&gt;M115,Y115&lt;=U115,Y115&lt;=W115),_XLL.SPLINE(M115:U115,C115:K115,Y115),0)</f>
        <v>0</v>
      </c>
      <c r="AA115" s="34">
        <f t="shared" si="24"/>
        <v>0</v>
      </c>
      <c r="AB115" s="35">
        <f t="shared" si="46"/>
        <v>6.035238095238096</v>
      </c>
    </row>
    <row r="116" spans="2:28" s="35" customFormat="1" ht="12.75">
      <c r="B116" s="44" t="str">
        <f t="shared" si="25"/>
        <v>Peso</v>
      </c>
      <c r="C116" s="35">
        <f t="shared" si="26"/>
        <v>0</v>
      </c>
      <c r="D116" s="35">
        <f t="shared" si="27"/>
        <v>3.78</v>
      </c>
      <c r="E116" s="35">
        <f t="shared" si="28"/>
        <v>6.91</v>
      </c>
      <c r="F116" s="35">
        <f t="shared" si="29"/>
        <v>10.03</v>
      </c>
      <c r="G116" s="35">
        <f t="shared" si="30"/>
        <v>13.16</v>
      </c>
      <c r="H116" s="35">
        <f t="shared" si="31"/>
        <v>15.17</v>
      </c>
      <c r="I116" s="35">
        <f t="shared" si="32"/>
        <v>17.18</v>
      </c>
      <c r="J116" s="35">
        <f t="shared" si="33"/>
        <v>19.2</v>
      </c>
      <c r="K116" s="32">
        <f t="shared" si="34"/>
        <v>23</v>
      </c>
      <c r="L116" s="44" t="str">
        <f t="shared" si="35"/>
        <v>Carico</v>
      </c>
      <c r="M116" s="35">
        <f t="shared" si="36"/>
        <v>1.34350064350064</v>
      </c>
      <c r="N116" s="35">
        <f t="shared" si="37"/>
        <v>7.101360544217691</v>
      </c>
      <c r="O116" s="35">
        <f t="shared" si="38"/>
        <v>16.12200772200772</v>
      </c>
      <c r="P116" s="35">
        <f t="shared" si="39"/>
        <v>29.46104982533554</v>
      </c>
      <c r="Q116" s="35">
        <f t="shared" si="40"/>
        <v>45.295164552307426</v>
      </c>
      <c r="R116" s="35">
        <f t="shared" si="41"/>
        <v>54.219847398418835</v>
      </c>
      <c r="S116" s="35">
        <f t="shared" si="42"/>
        <v>62.37681559110132</v>
      </c>
      <c r="T116" s="35">
        <f t="shared" si="43"/>
        <v>69.09431880860453</v>
      </c>
      <c r="U116" s="36">
        <f t="shared" si="44"/>
        <v>79.65039529325244</v>
      </c>
      <c r="V116" s="36"/>
      <c r="W116" s="36">
        <f t="shared" si="45"/>
        <v>79.5352380952381</v>
      </c>
      <c r="X116" s="36"/>
      <c r="Y116" s="47">
        <v>114</v>
      </c>
      <c r="Z116" s="46">
        <f>IF(AND(Y116&gt;M116,Y116&lt;=U116,Y116&lt;=W116),_XLL.SPLINE(M116:U116,C116:K116,Y116),0)</f>
        <v>0</v>
      </c>
      <c r="AA116" s="34">
        <f t="shared" si="24"/>
        <v>0</v>
      </c>
      <c r="AB116" s="35">
        <f t="shared" si="46"/>
        <v>6.035238095238096</v>
      </c>
    </row>
    <row r="117" spans="2:28" s="35" customFormat="1" ht="12.75">
      <c r="B117" s="44" t="str">
        <f t="shared" si="25"/>
        <v>Peso</v>
      </c>
      <c r="C117" s="35">
        <f t="shared" si="26"/>
        <v>0</v>
      </c>
      <c r="D117" s="35">
        <f t="shared" si="27"/>
        <v>3.78</v>
      </c>
      <c r="E117" s="35">
        <f t="shared" si="28"/>
        <v>6.91</v>
      </c>
      <c r="F117" s="35">
        <f t="shared" si="29"/>
        <v>10.03</v>
      </c>
      <c r="G117" s="35">
        <f t="shared" si="30"/>
        <v>13.16</v>
      </c>
      <c r="H117" s="35">
        <f t="shared" si="31"/>
        <v>15.17</v>
      </c>
      <c r="I117" s="35">
        <f t="shared" si="32"/>
        <v>17.18</v>
      </c>
      <c r="J117" s="35">
        <f t="shared" si="33"/>
        <v>19.2</v>
      </c>
      <c r="K117" s="32">
        <f t="shared" si="34"/>
        <v>23</v>
      </c>
      <c r="L117" s="44" t="str">
        <f t="shared" si="35"/>
        <v>Carico</v>
      </c>
      <c r="M117" s="35">
        <f t="shared" si="36"/>
        <v>1.34350064350064</v>
      </c>
      <c r="N117" s="35">
        <f t="shared" si="37"/>
        <v>7.101360544217691</v>
      </c>
      <c r="O117" s="35">
        <f t="shared" si="38"/>
        <v>16.12200772200772</v>
      </c>
      <c r="P117" s="35">
        <f t="shared" si="39"/>
        <v>29.46104982533554</v>
      </c>
      <c r="Q117" s="35">
        <f t="shared" si="40"/>
        <v>45.295164552307426</v>
      </c>
      <c r="R117" s="35">
        <f t="shared" si="41"/>
        <v>54.219847398418835</v>
      </c>
      <c r="S117" s="35">
        <f t="shared" si="42"/>
        <v>62.37681559110132</v>
      </c>
      <c r="T117" s="35">
        <f t="shared" si="43"/>
        <v>69.09431880860453</v>
      </c>
      <c r="U117" s="36">
        <f t="shared" si="44"/>
        <v>79.65039529325244</v>
      </c>
      <c r="V117" s="36"/>
      <c r="W117" s="36">
        <f t="shared" si="45"/>
        <v>79.5352380952381</v>
      </c>
      <c r="X117" s="36"/>
      <c r="Y117" s="47">
        <v>115</v>
      </c>
      <c r="Z117" s="46">
        <f>IF(AND(Y117&gt;M117,Y117&lt;=U117,Y117&lt;=W117),_XLL.SPLINE(M117:U117,C117:K117,Y117),0)</f>
        <v>0</v>
      </c>
      <c r="AA117" s="34">
        <f t="shared" si="24"/>
        <v>0</v>
      </c>
      <c r="AB117" s="35">
        <f t="shared" si="46"/>
        <v>6.035238095238096</v>
      </c>
    </row>
    <row r="118" spans="2:28" s="35" customFormat="1" ht="12.75">
      <c r="B118" s="44" t="str">
        <f t="shared" si="25"/>
        <v>Peso</v>
      </c>
      <c r="C118" s="35">
        <f t="shared" si="26"/>
        <v>0</v>
      </c>
      <c r="D118" s="35">
        <f t="shared" si="27"/>
        <v>3.78</v>
      </c>
      <c r="E118" s="35">
        <f t="shared" si="28"/>
        <v>6.91</v>
      </c>
      <c r="F118" s="35">
        <f t="shared" si="29"/>
        <v>10.03</v>
      </c>
      <c r="G118" s="35">
        <f t="shared" si="30"/>
        <v>13.16</v>
      </c>
      <c r="H118" s="35">
        <f t="shared" si="31"/>
        <v>15.17</v>
      </c>
      <c r="I118" s="35">
        <f t="shared" si="32"/>
        <v>17.18</v>
      </c>
      <c r="J118" s="35">
        <f t="shared" si="33"/>
        <v>19.2</v>
      </c>
      <c r="K118" s="32">
        <f t="shared" si="34"/>
        <v>23</v>
      </c>
      <c r="L118" s="44" t="str">
        <f t="shared" si="35"/>
        <v>Carico</v>
      </c>
      <c r="M118" s="35">
        <f t="shared" si="36"/>
        <v>1.34350064350064</v>
      </c>
      <c r="N118" s="35">
        <f t="shared" si="37"/>
        <v>7.101360544217691</v>
      </c>
      <c r="O118" s="35">
        <f t="shared" si="38"/>
        <v>16.12200772200772</v>
      </c>
      <c r="P118" s="35">
        <f t="shared" si="39"/>
        <v>29.46104982533554</v>
      </c>
      <c r="Q118" s="35">
        <f t="shared" si="40"/>
        <v>45.295164552307426</v>
      </c>
      <c r="R118" s="35">
        <f t="shared" si="41"/>
        <v>54.219847398418835</v>
      </c>
      <c r="S118" s="35">
        <f t="shared" si="42"/>
        <v>62.37681559110132</v>
      </c>
      <c r="T118" s="35">
        <f t="shared" si="43"/>
        <v>69.09431880860453</v>
      </c>
      <c r="U118" s="36">
        <f t="shared" si="44"/>
        <v>79.65039529325244</v>
      </c>
      <c r="V118" s="36"/>
      <c r="W118" s="36">
        <f t="shared" si="45"/>
        <v>79.5352380952381</v>
      </c>
      <c r="X118" s="36"/>
      <c r="Y118" s="47">
        <v>116</v>
      </c>
      <c r="Z118" s="46">
        <f>IF(AND(Y118&gt;M118,Y118&lt;=U118,Y118&lt;=W118),_XLL.SPLINE(M118:U118,C118:K118,Y118),0)</f>
        <v>0</v>
      </c>
      <c r="AA118" s="34">
        <f t="shared" si="24"/>
        <v>0</v>
      </c>
      <c r="AB118" s="35">
        <f t="shared" si="46"/>
        <v>6.035238095238096</v>
      </c>
    </row>
    <row r="119" spans="2:28" s="35" customFormat="1" ht="12.75">
      <c r="B119" s="44" t="str">
        <f t="shared" si="25"/>
        <v>Peso</v>
      </c>
      <c r="C119" s="35">
        <f t="shared" si="26"/>
        <v>0</v>
      </c>
      <c r="D119" s="35">
        <f t="shared" si="27"/>
        <v>3.78</v>
      </c>
      <c r="E119" s="35">
        <f t="shared" si="28"/>
        <v>6.91</v>
      </c>
      <c r="F119" s="35">
        <f t="shared" si="29"/>
        <v>10.03</v>
      </c>
      <c r="G119" s="35">
        <f t="shared" si="30"/>
        <v>13.16</v>
      </c>
      <c r="H119" s="35">
        <f t="shared" si="31"/>
        <v>15.17</v>
      </c>
      <c r="I119" s="35">
        <f t="shared" si="32"/>
        <v>17.18</v>
      </c>
      <c r="J119" s="35">
        <f t="shared" si="33"/>
        <v>19.2</v>
      </c>
      <c r="K119" s="32">
        <f t="shared" si="34"/>
        <v>23</v>
      </c>
      <c r="L119" s="44" t="str">
        <f t="shared" si="35"/>
        <v>Carico</v>
      </c>
      <c r="M119" s="35">
        <f t="shared" si="36"/>
        <v>1.34350064350064</v>
      </c>
      <c r="N119" s="35">
        <f t="shared" si="37"/>
        <v>7.101360544217691</v>
      </c>
      <c r="O119" s="35">
        <f t="shared" si="38"/>
        <v>16.12200772200772</v>
      </c>
      <c r="P119" s="35">
        <f t="shared" si="39"/>
        <v>29.46104982533554</v>
      </c>
      <c r="Q119" s="35">
        <f t="shared" si="40"/>
        <v>45.295164552307426</v>
      </c>
      <c r="R119" s="35">
        <f t="shared" si="41"/>
        <v>54.219847398418835</v>
      </c>
      <c r="S119" s="35">
        <f t="shared" si="42"/>
        <v>62.37681559110132</v>
      </c>
      <c r="T119" s="35">
        <f t="shared" si="43"/>
        <v>69.09431880860453</v>
      </c>
      <c r="U119" s="36">
        <f t="shared" si="44"/>
        <v>79.65039529325244</v>
      </c>
      <c r="V119" s="36"/>
      <c r="W119" s="36">
        <f t="shared" si="45"/>
        <v>79.5352380952381</v>
      </c>
      <c r="X119" s="36"/>
      <c r="Y119" s="47">
        <v>117</v>
      </c>
      <c r="Z119" s="46">
        <f>IF(AND(Y119&gt;M119,Y119&lt;=U119,Y119&lt;=W119),_XLL.SPLINE(M119:U119,C119:K119,Y119),0)</f>
        <v>0</v>
      </c>
      <c r="AA119" s="34">
        <f t="shared" si="24"/>
        <v>0</v>
      </c>
      <c r="AB119" s="35">
        <f t="shared" si="46"/>
        <v>6.035238095238096</v>
      </c>
    </row>
    <row r="120" spans="2:28" s="35" customFormat="1" ht="12.75">
      <c r="B120" s="44" t="str">
        <f t="shared" si="25"/>
        <v>Peso</v>
      </c>
      <c r="C120" s="35">
        <f t="shared" si="26"/>
        <v>0</v>
      </c>
      <c r="D120" s="35">
        <f t="shared" si="27"/>
        <v>3.78</v>
      </c>
      <c r="E120" s="35">
        <f t="shared" si="28"/>
        <v>6.91</v>
      </c>
      <c r="F120" s="35">
        <f t="shared" si="29"/>
        <v>10.03</v>
      </c>
      <c r="G120" s="35">
        <f t="shared" si="30"/>
        <v>13.16</v>
      </c>
      <c r="H120" s="35">
        <f t="shared" si="31"/>
        <v>15.17</v>
      </c>
      <c r="I120" s="35">
        <f t="shared" si="32"/>
        <v>17.18</v>
      </c>
      <c r="J120" s="35">
        <f t="shared" si="33"/>
        <v>19.2</v>
      </c>
      <c r="K120" s="32">
        <f t="shared" si="34"/>
        <v>23</v>
      </c>
      <c r="L120" s="44" t="str">
        <f t="shared" si="35"/>
        <v>Carico</v>
      </c>
      <c r="M120" s="35">
        <f t="shared" si="36"/>
        <v>1.34350064350064</v>
      </c>
      <c r="N120" s="35">
        <f t="shared" si="37"/>
        <v>7.101360544217691</v>
      </c>
      <c r="O120" s="35">
        <f t="shared" si="38"/>
        <v>16.12200772200772</v>
      </c>
      <c r="P120" s="35">
        <f t="shared" si="39"/>
        <v>29.46104982533554</v>
      </c>
      <c r="Q120" s="35">
        <f t="shared" si="40"/>
        <v>45.295164552307426</v>
      </c>
      <c r="R120" s="35">
        <f t="shared" si="41"/>
        <v>54.219847398418835</v>
      </c>
      <c r="S120" s="35">
        <f t="shared" si="42"/>
        <v>62.37681559110132</v>
      </c>
      <c r="T120" s="35">
        <f t="shared" si="43"/>
        <v>69.09431880860453</v>
      </c>
      <c r="U120" s="36">
        <f t="shared" si="44"/>
        <v>79.65039529325244</v>
      </c>
      <c r="V120" s="36"/>
      <c r="W120" s="36">
        <f t="shared" si="45"/>
        <v>79.5352380952381</v>
      </c>
      <c r="X120" s="36"/>
      <c r="Y120" s="47">
        <v>118</v>
      </c>
      <c r="Z120" s="46">
        <f>IF(AND(Y120&gt;M120,Y120&lt;=U120,Y120&lt;=W120),_XLL.SPLINE(M120:U120,C120:K120,Y120),0)</f>
        <v>0</v>
      </c>
      <c r="AA120" s="34">
        <f t="shared" si="24"/>
        <v>0</v>
      </c>
      <c r="AB120" s="35">
        <f t="shared" si="46"/>
        <v>6.035238095238096</v>
      </c>
    </row>
    <row r="121" spans="2:28" s="35" customFormat="1" ht="12.75">
      <c r="B121" s="44" t="str">
        <f t="shared" si="25"/>
        <v>Peso</v>
      </c>
      <c r="C121" s="35">
        <f t="shared" si="26"/>
        <v>0</v>
      </c>
      <c r="D121" s="35">
        <f t="shared" si="27"/>
        <v>3.78</v>
      </c>
      <c r="E121" s="35">
        <f t="shared" si="28"/>
        <v>6.91</v>
      </c>
      <c r="F121" s="35">
        <f t="shared" si="29"/>
        <v>10.03</v>
      </c>
      <c r="G121" s="35">
        <f t="shared" si="30"/>
        <v>13.16</v>
      </c>
      <c r="H121" s="35">
        <f t="shared" si="31"/>
        <v>15.17</v>
      </c>
      <c r="I121" s="35">
        <f t="shared" si="32"/>
        <v>17.18</v>
      </c>
      <c r="J121" s="35">
        <f t="shared" si="33"/>
        <v>19.2</v>
      </c>
      <c r="K121" s="32">
        <f t="shared" si="34"/>
        <v>23</v>
      </c>
      <c r="L121" s="44" t="str">
        <f t="shared" si="35"/>
        <v>Carico</v>
      </c>
      <c r="M121" s="35">
        <f t="shared" si="36"/>
        <v>1.34350064350064</v>
      </c>
      <c r="N121" s="35">
        <f t="shared" si="37"/>
        <v>7.101360544217691</v>
      </c>
      <c r="O121" s="35">
        <f t="shared" si="38"/>
        <v>16.12200772200772</v>
      </c>
      <c r="P121" s="35">
        <f t="shared" si="39"/>
        <v>29.46104982533554</v>
      </c>
      <c r="Q121" s="35">
        <f t="shared" si="40"/>
        <v>45.295164552307426</v>
      </c>
      <c r="R121" s="35">
        <f t="shared" si="41"/>
        <v>54.219847398418835</v>
      </c>
      <c r="S121" s="35">
        <f t="shared" si="42"/>
        <v>62.37681559110132</v>
      </c>
      <c r="T121" s="35">
        <f t="shared" si="43"/>
        <v>69.09431880860453</v>
      </c>
      <c r="U121" s="36">
        <f t="shared" si="44"/>
        <v>79.65039529325244</v>
      </c>
      <c r="V121" s="36"/>
      <c r="W121" s="36">
        <f t="shared" si="45"/>
        <v>79.5352380952381</v>
      </c>
      <c r="X121" s="36"/>
      <c r="Y121" s="47">
        <v>119</v>
      </c>
      <c r="Z121" s="46">
        <f>IF(AND(Y121&gt;M121,Y121&lt;=U121,Y121&lt;=W121),_XLL.SPLINE(M121:U121,C121:K121,Y121),0)</f>
        <v>0</v>
      </c>
      <c r="AA121" s="34">
        <f t="shared" si="24"/>
        <v>0</v>
      </c>
      <c r="AB121" s="35">
        <f t="shared" si="46"/>
        <v>6.035238095238096</v>
      </c>
    </row>
    <row r="122" spans="2:28" s="35" customFormat="1" ht="12.75">
      <c r="B122" s="44" t="str">
        <f t="shared" si="25"/>
        <v>Peso</v>
      </c>
      <c r="C122" s="35">
        <f t="shared" si="26"/>
        <v>0</v>
      </c>
      <c r="D122" s="35">
        <f t="shared" si="27"/>
        <v>3.78</v>
      </c>
      <c r="E122" s="35">
        <f t="shared" si="28"/>
        <v>6.91</v>
      </c>
      <c r="F122" s="35">
        <f t="shared" si="29"/>
        <v>10.03</v>
      </c>
      <c r="G122" s="35">
        <f t="shared" si="30"/>
        <v>13.16</v>
      </c>
      <c r="H122" s="35">
        <f t="shared" si="31"/>
        <v>15.17</v>
      </c>
      <c r="I122" s="35">
        <f t="shared" si="32"/>
        <v>17.18</v>
      </c>
      <c r="J122" s="35">
        <f t="shared" si="33"/>
        <v>19.2</v>
      </c>
      <c r="K122" s="32">
        <f t="shared" si="34"/>
        <v>23</v>
      </c>
      <c r="L122" s="44" t="str">
        <f t="shared" si="35"/>
        <v>Carico</v>
      </c>
      <c r="M122" s="35">
        <f t="shared" si="36"/>
        <v>1.34350064350064</v>
      </c>
      <c r="N122" s="35">
        <f t="shared" si="37"/>
        <v>7.101360544217691</v>
      </c>
      <c r="O122" s="35">
        <f t="shared" si="38"/>
        <v>16.12200772200772</v>
      </c>
      <c r="P122" s="35">
        <f t="shared" si="39"/>
        <v>29.46104982533554</v>
      </c>
      <c r="Q122" s="35">
        <f t="shared" si="40"/>
        <v>45.295164552307426</v>
      </c>
      <c r="R122" s="35">
        <f t="shared" si="41"/>
        <v>54.219847398418835</v>
      </c>
      <c r="S122" s="35">
        <f t="shared" si="42"/>
        <v>62.37681559110132</v>
      </c>
      <c r="T122" s="35">
        <f t="shared" si="43"/>
        <v>69.09431880860453</v>
      </c>
      <c r="U122" s="36">
        <f t="shared" si="44"/>
        <v>79.65039529325244</v>
      </c>
      <c r="V122" s="36"/>
      <c r="W122" s="36">
        <f t="shared" si="45"/>
        <v>79.5352380952381</v>
      </c>
      <c r="X122" s="36"/>
      <c r="Y122" s="47">
        <v>120</v>
      </c>
      <c r="Z122" s="46">
        <f>IF(AND(Y122&gt;M122,Y122&lt;=U122,Y122&lt;=W122),_XLL.SPLINE(M122:U122,C122:K122,Y122),0)</f>
        <v>0</v>
      </c>
      <c r="AA122" s="34">
        <f t="shared" si="24"/>
        <v>0</v>
      </c>
      <c r="AB122" s="35">
        <f t="shared" si="46"/>
        <v>6.035238095238096</v>
      </c>
    </row>
    <row r="123" spans="2:28" s="35" customFormat="1" ht="12.75">
      <c r="B123" s="44" t="str">
        <f t="shared" si="25"/>
        <v>Peso</v>
      </c>
      <c r="C123" s="35">
        <f t="shared" si="26"/>
        <v>0</v>
      </c>
      <c r="D123" s="35">
        <f t="shared" si="27"/>
        <v>3.78</v>
      </c>
      <c r="E123" s="35">
        <f t="shared" si="28"/>
        <v>6.91</v>
      </c>
      <c r="F123" s="35">
        <f t="shared" si="29"/>
        <v>10.03</v>
      </c>
      <c r="G123" s="35">
        <f t="shared" si="30"/>
        <v>13.16</v>
      </c>
      <c r="H123" s="35">
        <f t="shared" si="31"/>
        <v>15.17</v>
      </c>
      <c r="I123" s="35">
        <f t="shared" si="32"/>
        <v>17.18</v>
      </c>
      <c r="J123" s="35">
        <f t="shared" si="33"/>
        <v>19.2</v>
      </c>
      <c r="K123" s="32">
        <f t="shared" si="34"/>
        <v>23</v>
      </c>
      <c r="L123" s="44" t="str">
        <f t="shared" si="35"/>
        <v>Carico</v>
      </c>
      <c r="M123" s="35">
        <f t="shared" si="36"/>
        <v>1.34350064350064</v>
      </c>
      <c r="N123" s="35">
        <f t="shared" si="37"/>
        <v>7.101360544217691</v>
      </c>
      <c r="O123" s="35">
        <f t="shared" si="38"/>
        <v>16.12200772200772</v>
      </c>
      <c r="P123" s="35">
        <f t="shared" si="39"/>
        <v>29.46104982533554</v>
      </c>
      <c r="Q123" s="35">
        <f t="shared" si="40"/>
        <v>45.295164552307426</v>
      </c>
      <c r="R123" s="35">
        <f t="shared" si="41"/>
        <v>54.219847398418835</v>
      </c>
      <c r="S123" s="35">
        <f t="shared" si="42"/>
        <v>62.37681559110132</v>
      </c>
      <c r="T123" s="35">
        <f t="shared" si="43"/>
        <v>69.09431880860453</v>
      </c>
      <c r="U123" s="36">
        <f t="shared" si="44"/>
        <v>79.65039529325244</v>
      </c>
      <c r="V123" s="36"/>
      <c r="W123" s="36">
        <f t="shared" si="45"/>
        <v>79.5352380952381</v>
      </c>
      <c r="X123" s="36"/>
      <c r="Y123" s="47">
        <v>121</v>
      </c>
      <c r="Z123" s="46">
        <f>IF(AND(Y123&gt;M123,Y123&lt;=U123,Y123&lt;=W123),_XLL.SPLINE(M123:U123,C123:K123,Y123),0)</f>
        <v>0</v>
      </c>
      <c r="AA123" s="34">
        <f t="shared" si="24"/>
        <v>0</v>
      </c>
      <c r="AB123" s="35">
        <f t="shared" si="46"/>
        <v>6.035238095238096</v>
      </c>
    </row>
    <row r="124" spans="2:28" s="35" customFormat="1" ht="12.75">
      <c r="B124" s="44" t="str">
        <f t="shared" si="25"/>
        <v>Peso</v>
      </c>
      <c r="C124" s="35">
        <f t="shared" si="26"/>
        <v>0</v>
      </c>
      <c r="D124" s="35">
        <f t="shared" si="27"/>
        <v>3.78</v>
      </c>
      <c r="E124" s="35">
        <f t="shared" si="28"/>
        <v>6.91</v>
      </c>
      <c r="F124" s="35">
        <f t="shared" si="29"/>
        <v>10.03</v>
      </c>
      <c r="G124" s="35">
        <f t="shared" si="30"/>
        <v>13.16</v>
      </c>
      <c r="H124" s="35">
        <f t="shared" si="31"/>
        <v>15.17</v>
      </c>
      <c r="I124" s="35">
        <f t="shared" si="32"/>
        <v>17.18</v>
      </c>
      <c r="J124" s="35">
        <f t="shared" si="33"/>
        <v>19.2</v>
      </c>
      <c r="K124" s="32">
        <f t="shared" si="34"/>
        <v>23</v>
      </c>
      <c r="L124" s="44" t="str">
        <f t="shared" si="35"/>
        <v>Carico</v>
      </c>
      <c r="M124" s="35">
        <f t="shared" si="36"/>
        <v>1.34350064350064</v>
      </c>
      <c r="N124" s="35">
        <f t="shared" si="37"/>
        <v>7.101360544217691</v>
      </c>
      <c r="O124" s="35">
        <f t="shared" si="38"/>
        <v>16.12200772200772</v>
      </c>
      <c r="P124" s="35">
        <f t="shared" si="39"/>
        <v>29.46104982533554</v>
      </c>
      <c r="Q124" s="35">
        <f t="shared" si="40"/>
        <v>45.295164552307426</v>
      </c>
      <c r="R124" s="35">
        <f t="shared" si="41"/>
        <v>54.219847398418835</v>
      </c>
      <c r="S124" s="35">
        <f t="shared" si="42"/>
        <v>62.37681559110132</v>
      </c>
      <c r="T124" s="35">
        <f t="shared" si="43"/>
        <v>69.09431880860453</v>
      </c>
      <c r="U124" s="36">
        <f t="shared" si="44"/>
        <v>79.65039529325244</v>
      </c>
      <c r="V124" s="36"/>
      <c r="W124" s="36">
        <f t="shared" si="45"/>
        <v>79.5352380952381</v>
      </c>
      <c r="X124" s="36"/>
      <c r="Y124" s="47">
        <v>122</v>
      </c>
      <c r="Z124" s="46">
        <f>IF(AND(Y124&gt;M124,Y124&lt;=U124,Y124&lt;=W124),_XLL.SPLINE(M124:U124,C124:K124,Y124),0)</f>
        <v>0</v>
      </c>
      <c r="AA124" s="34">
        <f t="shared" si="24"/>
        <v>0</v>
      </c>
      <c r="AB124" s="35">
        <f t="shared" si="46"/>
        <v>6.035238095238096</v>
      </c>
    </row>
    <row r="125" spans="2:28" s="35" customFormat="1" ht="12.75">
      <c r="B125" s="44" t="str">
        <f t="shared" si="25"/>
        <v>Peso</v>
      </c>
      <c r="C125" s="35">
        <f t="shared" si="26"/>
        <v>0</v>
      </c>
      <c r="D125" s="35">
        <f t="shared" si="27"/>
        <v>3.78</v>
      </c>
      <c r="E125" s="35">
        <f t="shared" si="28"/>
        <v>6.91</v>
      </c>
      <c r="F125" s="35">
        <f t="shared" si="29"/>
        <v>10.03</v>
      </c>
      <c r="G125" s="35">
        <f t="shared" si="30"/>
        <v>13.16</v>
      </c>
      <c r="H125" s="35">
        <f t="shared" si="31"/>
        <v>15.17</v>
      </c>
      <c r="I125" s="35">
        <f t="shared" si="32"/>
        <v>17.18</v>
      </c>
      <c r="J125" s="35">
        <f t="shared" si="33"/>
        <v>19.2</v>
      </c>
      <c r="K125" s="32">
        <f t="shared" si="34"/>
        <v>23</v>
      </c>
      <c r="L125" s="44" t="str">
        <f t="shared" si="35"/>
        <v>Carico</v>
      </c>
      <c r="M125" s="35">
        <f t="shared" si="36"/>
        <v>1.34350064350064</v>
      </c>
      <c r="N125" s="35">
        <f t="shared" si="37"/>
        <v>7.101360544217691</v>
      </c>
      <c r="O125" s="35">
        <f t="shared" si="38"/>
        <v>16.12200772200772</v>
      </c>
      <c r="P125" s="35">
        <f t="shared" si="39"/>
        <v>29.46104982533554</v>
      </c>
      <c r="Q125" s="35">
        <f t="shared" si="40"/>
        <v>45.295164552307426</v>
      </c>
      <c r="R125" s="35">
        <f t="shared" si="41"/>
        <v>54.219847398418835</v>
      </c>
      <c r="S125" s="35">
        <f t="shared" si="42"/>
        <v>62.37681559110132</v>
      </c>
      <c r="T125" s="35">
        <f t="shared" si="43"/>
        <v>69.09431880860453</v>
      </c>
      <c r="U125" s="36">
        <f t="shared" si="44"/>
        <v>79.65039529325244</v>
      </c>
      <c r="V125" s="36"/>
      <c r="W125" s="36">
        <f t="shared" si="45"/>
        <v>79.5352380952381</v>
      </c>
      <c r="X125" s="36"/>
      <c r="Y125" s="47">
        <v>123</v>
      </c>
      <c r="Z125" s="46">
        <f>IF(AND(Y125&gt;M125,Y125&lt;=U125,Y125&lt;=W125),_XLL.SPLINE(M125:U125,C125:K125,Y125),0)</f>
        <v>0</v>
      </c>
      <c r="AA125" s="34">
        <f t="shared" si="24"/>
        <v>0</v>
      </c>
      <c r="AB125" s="35">
        <f t="shared" si="46"/>
        <v>6.035238095238096</v>
      </c>
    </row>
    <row r="126" spans="2:28" s="35" customFormat="1" ht="12.75">
      <c r="B126" s="44" t="str">
        <f t="shared" si="25"/>
        <v>Peso</v>
      </c>
      <c r="C126" s="35">
        <f t="shared" si="26"/>
        <v>0</v>
      </c>
      <c r="D126" s="35">
        <f t="shared" si="27"/>
        <v>3.78</v>
      </c>
      <c r="E126" s="35">
        <f t="shared" si="28"/>
        <v>6.91</v>
      </c>
      <c r="F126" s="35">
        <f t="shared" si="29"/>
        <v>10.03</v>
      </c>
      <c r="G126" s="35">
        <f t="shared" si="30"/>
        <v>13.16</v>
      </c>
      <c r="H126" s="35">
        <f t="shared" si="31"/>
        <v>15.17</v>
      </c>
      <c r="I126" s="35">
        <f t="shared" si="32"/>
        <v>17.18</v>
      </c>
      <c r="J126" s="35">
        <f t="shared" si="33"/>
        <v>19.2</v>
      </c>
      <c r="K126" s="32">
        <f t="shared" si="34"/>
        <v>23</v>
      </c>
      <c r="L126" s="44" t="str">
        <f t="shared" si="35"/>
        <v>Carico</v>
      </c>
      <c r="M126" s="35">
        <f t="shared" si="36"/>
        <v>1.34350064350064</v>
      </c>
      <c r="N126" s="35">
        <f t="shared" si="37"/>
        <v>7.101360544217691</v>
      </c>
      <c r="O126" s="35">
        <f t="shared" si="38"/>
        <v>16.12200772200772</v>
      </c>
      <c r="P126" s="35">
        <f t="shared" si="39"/>
        <v>29.46104982533554</v>
      </c>
      <c r="Q126" s="35">
        <f t="shared" si="40"/>
        <v>45.295164552307426</v>
      </c>
      <c r="R126" s="35">
        <f t="shared" si="41"/>
        <v>54.219847398418835</v>
      </c>
      <c r="S126" s="35">
        <f t="shared" si="42"/>
        <v>62.37681559110132</v>
      </c>
      <c r="T126" s="35">
        <f t="shared" si="43"/>
        <v>69.09431880860453</v>
      </c>
      <c r="U126" s="36">
        <f t="shared" si="44"/>
        <v>79.65039529325244</v>
      </c>
      <c r="V126" s="36"/>
      <c r="W126" s="36">
        <f t="shared" si="45"/>
        <v>79.5352380952381</v>
      </c>
      <c r="X126" s="36"/>
      <c r="Y126" s="47">
        <v>124</v>
      </c>
      <c r="Z126" s="46">
        <f>IF(AND(Y126&gt;M126,Y126&lt;=U126,Y126&lt;=W126),_XLL.SPLINE(M126:U126,C126:K126,Y126),0)</f>
        <v>0</v>
      </c>
      <c r="AA126" s="34">
        <f t="shared" si="24"/>
        <v>0</v>
      </c>
      <c r="AB126" s="35">
        <f t="shared" si="46"/>
        <v>6.035238095238096</v>
      </c>
    </row>
    <row r="127" spans="2:28" s="35" customFormat="1" ht="12.75">
      <c r="B127" s="44" t="str">
        <f t="shared" si="25"/>
        <v>Peso</v>
      </c>
      <c r="C127" s="35">
        <f t="shared" si="26"/>
        <v>0</v>
      </c>
      <c r="D127" s="35">
        <f t="shared" si="27"/>
        <v>3.78</v>
      </c>
      <c r="E127" s="35">
        <f t="shared" si="28"/>
        <v>6.91</v>
      </c>
      <c r="F127" s="35">
        <f t="shared" si="29"/>
        <v>10.03</v>
      </c>
      <c r="G127" s="35">
        <f t="shared" si="30"/>
        <v>13.16</v>
      </c>
      <c r="H127" s="35">
        <f t="shared" si="31"/>
        <v>15.17</v>
      </c>
      <c r="I127" s="35">
        <f t="shared" si="32"/>
        <v>17.18</v>
      </c>
      <c r="J127" s="35">
        <f t="shared" si="33"/>
        <v>19.2</v>
      </c>
      <c r="K127" s="32">
        <f t="shared" si="34"/>
        <v>23</v>
      </c>
      <c r="L127" s="44" t="str">
        <f t="shared" si="35"/>
        <v>Carico</v>
      </c>
      <c r="M127" s="35">
        <f t="shared" si="36"/>
        <v>1.34350064350064</v>
      </c>
      <c r="N127" s="35">
        <f t="shared" si="37"/>
        <v>7.101360544217691</v>
      </c>
      <c r="O127" s="35">
        <f t="shared" si="38"/>
        <v>16.12200772200772</v>
      </c>
      <c r="P127" s="35">
        <f t="shared" si="39"/>
        <v>29.46104982533554</v>
      </c>
      <c r="Q127" s="35">
        <f t="shared" si="40"/>
        <v>45.295164552307426</v>
      </c>
      <c r="R127" s="35">
        <f t="shared" si="41"/>
        <v>54.219847398418835</v>
      </c>
      <c r="S127" s="35">
        <f t="shared" si="42"/>
        <v>62.37681559110132</v>
      </c>
      <c r="T127" s="35">
        <f t="shared" si="43"/>
        <v>69.09431880860453</v>
      </c>
      <c r="U127" s="36">
        <f t="shared" si="44"/>
        <v>79.65039529325244</v>
      </c>
      <c r="V127" s="36"/>
      <c r="W127" s="36">
        <f t="shared" si="45"/>
        <v>79.5352380952381</v>
      </c>
      <c r="X127" s="36"/>
      <c r="Y127" s="47">
        <v>125</v>
      </c>
      <c r="Z127" s="46">
        <f>IF(AND(Y127&gt;M127,Y127&lt;=U127,Y127&lt;=W127),_XLL.SPLINE(M127:U127,C127:K127,Y127),0)</f>
        <v>0</v>
      </c>
      <c r="AA127" s="34">
        <f t="shared" si="24"/>
        <v>0</v>
      </c>
      <c r="AB127" s="35">
        <f t="shared" si="46"/>
        <v>6.035238095238096</v>
      </c>
    </row>
    <row r="128" spans="2:28" s="35" customFormat="1" ht="12.75">
      <c r="B128" s="44" t="str">
        <f t="shared" si="25"/>
        <v>Peso</v>
      </c>
      <c r="C128" s="35">
        <f t="shared" si="26"/>
        <v>0</v>
      </c>
      <c r="D128" s="35">
        <f t="shared" si="27"/>
        <v>3.78</v>
      </c>
      <c r="E128" s="35">
        <f t="shared" si="28"/>
        <v>6.91</v>
      </c>
      <c r="F128" s="35">
        <f t="shared" si="29"/>
        <v>10.03</v>
      </c>
      <c r="G128" s="35">
        <f t="shared" si="30"/>
        <v>13.16</v>
      </c>
      <c r="H128" s="35">
        <f t="shared" si="31"/>
        <v>15.17</v>
      </c>
      <c r="I128" s="35">
        <f t="shared" si="32"/>
        <v>17.18</v>
      </c>
      <c r="J128" s="35">
        <f t="shared" si="33"/>
        <v>19.2</v>
      </c>
      <c r="K128" s="32">
        <f t="shared" si="34"/>
        <v>23</v>
      </c>
      <c r="L128" s="44" t="str">
        <f t="shared" si="35"/>
        <v>Carico</v>
      </c>
      <c r="M128" s="35">
        <f t="shared" si="36"/>
        <v>1.34350064350064</v>
      </c>
      <c r="N128" s="35">
        <f t="shared" si="37"/>
        <v>7.101360544217691</v>
      </c>
      <c r="O128" s="35">
        <f t="shared" si="38"/>
        <v>16.12200772200772</v>
      </c>
      <c r="P128" s="35">
        <f t="shared" si="39"/>
        <v>29.46104982533554</v>
      </c>
      <c r="Q128" s="35">
        <f t="shared" si="40"/>
        <v>45.295164552307426</v>
      </c>
      <c r="R128" s="35">
        <f t="shared" si="41"/>
        <v>54.219847398418835</v>
      </c>
      <c r="S128" s="35">
        <f t="shared" si="42"/>
        <v>62.37681559110132</v>
      </c>
      <c r="T128" s="35">
        <f t="shared" si="43"/>
        <v>69.09431880860453</v>
      </c>
      <c r="U128" s="36">
        <f t="shared" si="44"/>
        <v>79.65039529325244</v>
      </c>
      <c r="V128" s="36"/>
      <c r="W128" s="36">
        <f t="shared" si="45"/>
        <v>79.5352380952381</v>
      </c>
      <c r="X128" s="36"/>
      <c r="Y128" s="47">
        <v>126</v>
      </c>
      <c r="Z128" s="46">
        <f>IF(AND(Y128&gt;M128,Y128&lt;=U128,Y128&lt;=W128),_XLL.SPLINE(M128:U128,C128:K128,Y128),0)</f>
        <v>0</v>
      </c>
      <c r="AA128" s="34">
        <f t="shared" si="24"/>
        <v>0</v>
      </c>
      <c r="AB128" s="35">
        <f t="shared" si="46"/>
        <v>6.035238095238096</v>
      </c>
    </row>
    <row r="129" spans="2:28" s="35" customFormat="1" ht="12.75">
      <c r="B129" s="44" t="str">
        <f t="shared" si="25"/>
        <v>Peso</v>
      </c>
      <c r="C129" s="35">
        <f t="shared" si="26"/>
        <v>0</v>
      </c>
      <c r="D129" s="35">
        <f t="shared" si="27"/>
        <v>3.78</v>
      </c>
      <c r="E129" s="35">
        <f t="shared" si="28"/>
        <v>6.91</v>
      </c>
      <c r="F129" s="35">
        <f t="shared" si="29"/>
        <v>10.03</v>
      </c>
      <c r="G129" s="35">
        <f t="shared" si="30"/>
        <v>13.16</v>
      </c>
      <c r="H129" s="35">
        <f t="shared" si="31"/>
        <v>15.17</v>
      </c>
      <c r="I129" s="35">
        <f t="shared" si="32"/>
        <v>17.18</v>
      </c>
      <c r="J129" s="35">
        <f t="shared" si="33"/>
        <v>19.2</v>
      </c>
      <c r="K129" s="32">
        <f t="shared" si="34"/>
        <v>23</v>
      </c>
      <c r="L129" s="44" t="str">
        <f t="shared" si="35"/>
        <v>Carico</v>
      </c>
      <c r="M129" s="35">
        <f t="shared" si="36"/>
        <v>1.34350064350064</v>
      </c>
      <c r="N129" s="35">
        <f t="shared" si="37"/>
        <v>7.101360544217691</v>
      </c>
      <c r="O129" s="35">
        <f t="shared" si="38"/>
        <v>16.12200772200772</v>
      </c>
      <c r="P129" s="35">
        <f t="shared" si="39"/>
        <v>29.46104982533554</v>
      </c>
      <c r="Q129" s="35">
        <f t="shared" si="40"/>
        <v>45.295164552307426</v>
      </c>
      <c r="R129" s="35">
        <f t="shared" si="41"/>
        <v>54.219847398418835</v>
      </c>
      <c r="S129" s="35">
        <f t="shared" si="42"/>
        <v>62.37681559110132</v>
      </c>
      <c r="T129" s="35">
        <f t="shared" si="43"/>
        <v>69.09431880860453</v>
      </c>
      <c r="U129" s="36">
        <f t="shared" si="44"/>
        <v>79.65039529325244</v>
      </c>
      <c r="V129" s="36"/>
      <c r="W129" s="36">
        <f t="shared" si="45"/>
        <v>79.5352380952381</v>
      </c>
      <c r="X129" s="36"/>
      <c r="Y129" s="47">
        <v>127</v>
      </c>
      <c r="Z129" s="46">
        <f>IF(AND(Y129&gt;M129,Y129&lt;=U129,Y129&lt;=W129),_XLL.SPLINE(M129:U129,C129:K129,Y129),0)</f>
        <v>0</v>
      </c>
      <c r="AA129" s="34">
        <f t="shared" si="24"/>
        <v>0</v>
      </c>
      <c r="AB129" s="35">
        <f t="shared" si="46"/>
        <v>6.035238095238096</v>
      </c>
    </row>
    <row r="130" spans="2:28" s="35" customFormat="1" ht="12.75">
      <c r="B130" s="44" t="str">
        <f t="shared" si="25"/>
        <v>Peso</v>
      </c>
      <c r="C130" s="35">
        <f t="shared" si="26"/>
        <v>0</v>
      </c>
      <c r="D130" s="35">
        <f t="shared" si="27"/>
        <v>3.78</v>
      </c>
      <c r="E130" s="35">
        <f t="shared" si="28"/>
        <v>6.91</v>
      </c>
      <c r="F130" s="35">
        <f t="shared" si="29"/>
        <v>10.03</v>
      </c>
      <c r="G130" s="35">
        <f t="shared" si="30"/>
        <v>13.16</v>
      </c>
      <c r="H130" s="35">
        <f t="shared" si="31"/>
        <v>15.17</v>
      </c>
      <c r="I130" s="35">
        <f t="shared" si="32"/>
        <v>17.18</v>
      </c>
      <c r="J130" s="35">
        <f t="shared" si="33"/>
        <v>19.2</v>
      </c>
      <c r="K130" s="32">
        <f t="shared" si="34"/>
        <v>23</v>
      </c>
      <c r="L130" s="44" t="str">
        <f t="shared" si="35"/>
        <v>Carico</v>
      </c>
      <c r="M130" s="35">
        <f t="shared" si="36"/>
        <v>1.34350064350064</v>
      </c>
      <c r="N130" s="35">
        <f t="shared" si="37"/>
        <v>7.101360544217691</v>
      </c>
      <c r="O130" s="35">
        <f t="shared" si="38"/>
        <v>16.12200772200772</v>
      </c>
      <c r="P130" s="35">
        <f t="shared" si="39"/>
        <v>29.46104982533554</v>
      </c>
      <c r="Q130" s="35">
        <f t="shared" si="40"/>
        <v>45.295164552307426</v>
      </c>
      <c r="R130" s="35">
        <f t="shared" si="41"/>
        <v>54.219847398418835</v>
      </c>
      <c r="S130" s="35">
        <f t="shared" si="42"/>
        <v>62.37681559110132</v>
      </c>
      <c r="T130" s="35">
        <f t="shared" si="43"/>
        <v>69.09431880860453</v>
      </c>
      <c r="U130" s="36">
        <f t="shared" si="44"/>
        <v>79.65039529325244</v>
      </c>
      <c r="V130" s="36"/>
      <c r="W130" s="36">
        <f t="shared" si="45"/>
        <v>79.5352380952381</v>
      </c>
      <c r="X130" s="36"/>
      <c r="Y130" s="47">
        <v>128</v>
      </c>
      <c r="Z130" s="46">
        <f>IF(AND(Y130&gt;M130,Y130&lt;=U130,Y130&lt;=W130),_XLL.SPLINE(M130:U130,C130:K130,Y130),0)</f>
        <v>0</v>
      </c>
      <c r="AA130" s="34">
        <f t="shared" si="24"/>
        <v>0</v>
      </c>
      <c r="AB130" s="35">
        <f t="shared" si="46"/>
        <v>6.035238095238096</v>
      </c>
    </row>
    <row r="131" spans="2:28" s="35" customFormat="1" ht="12.75">
      <c r="B131" s="44" t="str">
        <f t="shared" si="25"/>
        <v>Peso</v>
      </c>
      <c r="C131" s="35">
        <f t="shared" si="26"/>
        <v>0</v>
      </c>
      <c r="D131" s="35">
        <f t="shared" si="27"/>
        <v>3.78</v>
      </c>
      <c r="E131" s="35">
        <f t="shared" si="28"/>
        <v>6.91</v>
      </c>
      <c r="F131" s="35">
        <f t="shared" si="29"/>
        <v>10.03</v>
      </c>
      <c r="G131" s="35">
        <f t="shared" si="30"/>
        <v>13.16</v>
      </c>
      <c r="H131" s="35">
        <f t="shared" si="31"/>
        <v>15.17</v>
      </c>
      <c r="I131" s="35">
        <f t="shared" si="32"/>
        <v>17.18</v>
      </c>
      <c r="J131" s="35">
        <f t="shared" si="33"/>
        <v>19.2</v>
      </c>
      <c r="K131" s="32">
        <f t="shared" si="34"/>
        <v>23</v>
      </c>
      <c r="L131" s="44" t="str">
        <f t="shared" si="35"/>
        <v>Carico</v>
      </c>
      <c r="M131" s="35">
        <f t="shared" si="36"/>
        <v>1.34350064350064</v>
      </c>
      <c r="N131" s="35">
        <f t="shared" si="37"/>
        <v>7.101360544217691</v>
      </c>
      <c r="O131" s="35">
        <f t="shared" si="38"/>
        <v>16.12200772200772</v>
      </c>
      <c r="P131" s="35">
        <f t="shared" si="39"/>
        <v>29.46104982533554</v>
      </c>
      <c r="Q131" s="35">
        <f t="shared" si="40"/>
        <v>45.295164552307426</v>
      </c>
      <c r="R131" s="35">
        <f t="shared" si="41"/>
        <v>54.219847398418835</v>
      </c>
      <c r="S131" s="35">
        <f t="shared" si="42"/>
        <v>62.37681559110132</v>
      </c>
      <c r="T131" s="35">
        <f t="shared" si="43"/>
        <v>69.09431880860453</v>
      </c>
      <c r="U131" s="36">
        <f t="shared" si="44"/>
        <v>79.65039529325244</v>
      </c>
      <c r="V131" s="36"/>
      <c r="W131" s="36">
        <f t="shared" si="45"/>
        <v>79.5352380952381</v>
      </c>
      <c r="X131" s="36"/>
      <c r="Y131" s="47">
        <v>129</v>
      </c>
      <c r="Z131" s="46">
        <f>IF(AND(Y131&gt;M131,Y131&lt;=U131,Y131&lt;=W131),_XLL.SPLINE(M131:U131,C131:K131,Y131),0)</f>
        <v>0</v>
      </c>
      <c r="AA131" s="34">
        <f aca="true" t="shared" si="47" ref="AA131:AA194">IF(Y131&lt;AB131,Z131,0)</f>
        <v>0</v>
      </c>
      <c r="AB131" s="35">
        <f t="shared" si="46"/>
        <v>6.035238095238096</v>
      </c>
    </row>
    <row r="132" spans="2:28" s="35" customFormat="1" ht="12.75">
      <c r="B132" s="44" t="str">
        <f aca="true" t="shared" si="48" ref="B132:B195">B131</f>
        <v>Peso</v>
      </c>
      <c r="C132" s="35">
        <f aca="true" t="shared" si="49" ref="C132:C195">C131</f>
        <v>0</v>
      </c>
      <c r="D132" s="35">
        <f aca="true" t="shared" si="50" ref="D132:D195">D131</f>
        <v>3.78</v>
      </c>
      <c r="E132" s="35">
        <f aca="true" t="shared" si="51" ref="E132:E195">E131</f>
        <v>6.91</v>
      </c>
      <c r="F132" s="35">
        <f aca="true" t="shared" si="52" ref="F132:F195">F131</f>
        <v>10.03</v>
      </c>
      <c r="G132" s="35">
        <f aca="true" t="shared" si="53" ref="G132:G195">G131</f>
        <v>13.16</v>
      </c>
      <c r="H132" s="35">
        <f aca="true" t="shared" si="54" ref="H132:H195">H131</f>
        <v>15.17</v>
      </c>
      <c r="I132" s="35">
        <f aca="true" t="shared" si="55" ref="I132:I195">I131</f>
        <v>17.18</v>
      </c>
      <c r="J132" s="35">
        <f aca="true" t="shared" si="56" ref="J132:J195">J131</f>
        <v>19.2</v>
      </c>
      <c r="K132" s="32">
        <f aca="true" t="shared" si="57" ref="K132:K195">K131</f>
        <v>23</v>
      </c>
      <c r="L132" s="44" t="str">
        <f aca="true" t="shared" si="58" ref="L132:L195">L131</f>
        <v>Carico</v>
      </c>
      <c r="M132" s="35">
        <f aca="true" t="shared" si="59" ref="M132:M195">M131</f>
        <v>1.34350064350064</v>
      </c>
      <c r="N132" s="35">
        <f aca="true" t="shared" si="60" ref="N132:N195">N131</f>
        <v>7.101360544217691</v>
      </c>
      <c r="O132" s="35">
        <f aca="true" t="shared" si="61" ref="O132:O195">O131</f>
        <v>16.12200772200772</v>
      </c>
      <c r="P132" s="35">
        <f aca="true" t="shared" si="62" ref="P132:P195">P131</f>
        <v>29.46104982533554</v>
      </c>
      <c r="Q132" s="35">
        <f aca="true" t="shared" si="63" ref="Q132:Q195">Q131</f>
        <v>45.295164552307426</v>
      </c>
      <c r="R132" s="35">
        <f aca="true" t="shared" si="64" ref="R132:R195">R131</f>
        <v>54.219847398418835</v>
      </c>
      <c r="S132" s="35">
        <f aca="true" t="shared" si="65" ref="S132:S195">S131</f>
        <v>62.37681559110132</v>
      </c>
      <c r="T132" s="35">
        <f aca="true" t="shared" si="66" ref="T132:T195">T131</f>
        <v>69.09431880860453</v>
      </c>
      <c r="U132" s="36">
        <f aca="true" t="shared" si="67" ref="U132:U195">U131</f>
        <v>79.65039529325244</v>
      </c>
      <c r="V132" s="36"/>
      <c r="W132" s="36">
        <f aca="true" t="shared" si="68" ref="W132:W195">W131</f>
        <v>79.5352380952381</v>
      </c>
      <c r="X132" s="36"/>
      <c r="Y132" s="47">
        <v>130</v>
      </c>
      <c r="Z132" s="46">
        <f>IF(AND(Y132&gt;M132,Y132&lt;=U132,Y132&lt;=W132),_XLL.SPLINE(M132:U132,C132:K132,Y132),0)</f>
        <v>0</v>
      </c>
      <c r="AA132" s="34">
        <f t="shared" si="47"/>
        <v>0</v>
      </c>
      <c r="AB132" s="35">
        <f aca="true" t="shared" si="69" ref="AB132:AB195">AB131</f>
        <v>6.035238095238096</v>
      </c>
    </row>
    <row r="133" spans="2:28" s="35" customFormat="1" ht="12.75">
      <c r="B133" s="44" t="str">
        <f t="shared" si="48"/>
        <v>Peso</v>
      </c>
      <c r="C133" s="35">
        <f t="shared" si="49"/>
        <v>0</v>
      </c>
      <c r="D133" s="35">
        <f t="shared" si="50"/>
        <v>3.78</v>
      </c>
      <c r="E133" s="35">
        <f t="shared" si="51"/>
        <v>6.91</v>
      </c>
      <c r="F133" s="35">
        <f t="shared" si="52"/>
        <v>10.03</v>
      </c>
      <c r="G133" s="35">
        <f t="shared" si="53"/>
        <v>13.16</v>
      </c>
      <c r="H133" s="35">
        <f t="shared" si="54"/>
        <v>15.17</v>
      </c>
      <c r="I133" s="35">
        <f t="shared" si="55"/>
        <v>17.18</v>
      </c>
      <c r="J133" s="35">
        <f t="shared" si="56"/>
        <v>19.2</v>
      </c>
      <c r="K133" s="32">
        <f t="shared" si="57"/>
        <v>23</v>
      </c>
      <c r="L133" s="44" t="str">
        <f t="shared" si="58"/>
        <v>Carico</v>
      </c>
      <c r="M133" s="35">
        <f t="shared" si="59"/>
        <v>1.34350064350064</v>
      </c>
      <c r="N133" s="35">
        <f t="shared" si="60"/>
        <v>7.101360544217691</v>
      </c>
      <c r="O133" s="35">
        <f t="shared" si="61"/>
        <v>16.12200772200772</v>
      </c>
      <c r="P133" s="35">
        <f t="shared" si="62"/>
        <v>29.46104982533554</v>
      </c>
      <c r="Q133" s="35">
        <f t="shared" si="63"/>
        <v>45.295164552307426</v>
      </c>
      <c r="R133" s="35">
        <f t="shared" si="64"/>
        <v>54.219847398418835</v>
      </c>
      <c r="S133" s="35">
        <f t="shared" si="65"/>
        <v>62.37681559110132</v>
      </c>
      <c r="T133" s="35">
        <f t="shared" si="66"/>
        <v>69.09431880860453</v>
      </c>
      <c r="U133" s="36">
        <f t="shared" si="67"/>
        <v>79.65039529325244</v>
      </c>
      <c r="V133" s="36"/>
      <c r="W133" s="36">
        <f t="shared" si="68"/>
        <v>79.5352380952381</v>
      </c>
      <c r="X133" s="36"/>
      <c r="Y133" s="47">
        <v>131</v>
      </c>
      <c r="Z133" s="46">
        <f>IF(AND(Y133&gt;M133,Y133&lt;=U133,Y133&lt;=W133),_XLL.SPLINE(M133:U133,C133:K133,Y133),0)</f>
        <v>0</v>
      </c>
      <c r="AA133" s="34">
        <f t="shared" si="47"/>
        <v>0</v>
      </c>
      <c r="AB133" s="35">
        <f t="shared" si="69"/>
        <v>6.035238095238096</v>
      </c>
    </row>
    <row r="134" spans="2:28" s="35" customFormat="1" ht="12.75">
      <c r="B134" s="44" t="str">
        <f t="shared" si="48"/>
        <v>Peso</v>
      </c>
      <c r="C134" s="35">
        <f t="shared" si="49"/>
        <v>0</v>
      </c>
      <c r="D134" s="35">
        <f t="shared" si="50"/>
        <v>3.78</v>
      </c>
      <c r="E134" s="35">
        <f t="shared" si="51"/>
        <v>6.91</v>
      </c>
      <c r="F134" s="35">
        <f t="shared" si="52"/>
        <v>10.03</v>
      </c>
      <c r="G134" s="35">
        <f t="shared" si="53"/>
        <v>13.16</v>
      </c>
      <c r="H134" s="35">
        <f t="shared" si="54"/>
        <v>15.17</v>
      </c>
      <c r="I134" s="35">
        <f t="shared" si="55"/>
        <v>17.18</v>
      </c>
      <c r="J134" s="35">
        <f t="shared" si="56"/>
        <v>19.2</v>
      </c>
      <c r="K134" s="32">
        <f t="shared" si="57"/>
        <v>23</v>
      </c>
      <c r="L134" s="44" t="str">
        <f t="shared" si="58"/>
        <v>Carico</v>
      </c>
      <c r="M134" s="35">
        <f t="shared" si="59"/>
        <v>1.34350064350064</v>
      </c>
      <c r="N134" s="35">
        <f t="shared" si="60"/>
        <v>7.101360544217691</v>
      </c>
      <c r="O134" s="35">
        <f t="shared" si="61"/>
        <v>16.12200772200772</v>
      </c>
      <c r="P134" s="35">
        <f t="shared" si="62"/>
        <v>29.46104982533554</v>
      </c>
      <c r="Q134" s="35">
        <f t="shared" si="63"/>
        <v>45.295164552307426</v>
      </c>
      <c r="R134" s="35">
        <f t="shared" si="64"/>
        <v>54.219847398418835</v>
      </c>
      <c r="S134" s="35">
        <f t="shared" si="65"/>
        <v>62.37681559110132</v>
      </c>
      <c r="T134" s="35">
        <f t="shared" si="66"/>
        <v>69.09431880860453</v>
      </c>
      <c r="U134" s="36">
        <f t="shared" si="67"/>
        <v>79.65039529325244</v>
      </c>
      <c r="V134" s="36"/>
      <c r="W134" s="36">
        <f t="shared" si="68"/>
        <v>79.5352380952381</v>
      </c>
      <c r="X134" s="36"/>
      <c r="Y134" s="47">
        <v>132</v>
      </c>
      <c r="Z134" s="46">
        <f>IF(AND(Y134&gt;M134,Y134&lt;=U134,Y134&lt;=W134),_XLL.SPLINE(M134:U134,C134:K134,Y134),0)</f>
        <v>0</v>
      </c>
      <c r="AA134" s="34">
        <f t="shared" si="47"/>
        <v>0</v>
      </c>
      <c r="AB134" s="35">
        <f t="shared" si="69"/>
        <v>6.035238095238096</v>
      </c>
    </row>
    <row r="135" spans="2:28" s="35" customFormat="1" ht="12.75">
      <c r="B135" s="44" t="str">
        <f t="shared" si="48"/>
        <v>Peso</v>
      </c>
      <c r="C135" s="35">
        <f t="shared" si="49"/>
        <v>0</v>
      </c>
      <c r="D135" s="35">
        <f t="shared" si="50"/>
        <v>3.78</v>
      </c>
      <c r="E135" s="35">
        <f t="shared" si="51"/>
        <v>6.91</v>
      </c>
      <c r="F135" s="35">
        <f t="shared" si="52"/>
        <v>10.03</v>
      </c>
      <c r="G135" s="35">
        <f t="shared" si="53"/>
        <v>13.16</v>
      </c>
      <c r="H135" s="35">
        <f t="shared" si="54"/>
        <v>15.17</v>
      </c>
      <c r="I135" s="35">
        <f t="shared" si="55"/>
        <v>17.18</v>
      </c>
      <c r="J135" s="35">
        <f t="shared" si="56"/>
        <v>19.2</v>
      </c>
      <c r="K135" s="32">
        <f t="shared" si="57"/>
        <v>23</v>
      </c>
      <c r="L135" s="44" t="str">
        <f t="shared" si="58"/>
        <v>Carico</v>
      </c>
      <c r="M135" s="35">
        <f t="shared" si="59"/>
        <v>1.34350064350064</v>
      </c>
      <c r="N135" s="35">
        <f t="shared" si="60"/>
        <v>7.101360544217691</v>
      </c>
      <c r="O135" s="35">
        <f t="shared" si="61"/>
        <v>16.12200772200772</v>
      </c>
      <c r="P135" s="35">
        <f t="shared" si="62"/>
        <v>29.46104982533554</v>
      </c>
      <c r="Q135" s="35">
        <f t="shared" si="63"/>
        <v>45.295164552307426</v>
      </c>
      <c r="R135" s="35">
        <f t="shared" si="64"/>
        <v>54.219847398418835</v>
      </c>
      <c r="S135" s="35">
        <f t="shared" si="65"/>
        <v>62.37681559110132</v>
      </c>
      <c r="T135" s="35">
        <f t="shared" si="66"/>
        <v>69.09431880860453</v>
      </c>
      <c r="U135" s="36">
        <f t="shared" si="67"/>
        <v>79.65039529325244</v>
      </c>
      <c r="V135" s="36"/>
      <c r="W135" s="36">
        <f t="shared" si="68"/>
        <v>79.5352380952381</v>
      </c>
      <c r="X135" s="36"/>
      <c r="Y135" s="47">
        <v>133</v>
      </c>
      <c r="Z135" s="46">
        <f>IF(AND(Y135&gt;M135,Y135&lt;=U135,Y135&lt;=W135),_XLL.SPLINE(M135:U135,C135:K135,Y135),0)</f>
        <v>0</v>
      </c>
      <c r="AA135" s="34">
        <f t="shared" si="47"/>
        <v>0</v>
      </c>
      <c r="AB135" s="35">
        <f t="shared" si="69"/>
        <v>6.035238095238096</v>
      </c>
    </row>
    <row r="136" spans="2:28" s="35" customFormat="1" ht="12.75">
      <c r="B136" s="44" t="str">
        <f t="shared" si="48"/>
        <v>Peso</v>
      </c>
      <c r="C136" s="35">
        <f t="shared" si="49"/>
        <v>0</v>
      </c>
      <c r="D136" s="35">
        <f t="shared" si="50"/>
        <v>3.78</v>
      </c>
      <c r="E136" s="35">
        <f t="shared" si="51"/>
        <v>6.91</v>
      </c>
      <c r="F136" s="35">
        <f t="shared" si="52"/>
        <v>10.03</v>
      </c>
      <c r="G136" s="35">
        <f t="shared" si="53"/>
        <v>13.16</v>
      </c>
      <c r="H136" s="35">
        <f t="shared" si="54"/>
        <v>15.17</v>
      </c>
      <c r="I136" s="35">
        <f t="shared" si="55"/>
        <v>17.18</v>
      </c>
      <c r="J136" s="35">
        <f t="shared" si="56"/>
        <v>19.2</v>
      </c>
      <c r="K136" s="32">
        <f t="shared" si="57"/>
        <v>23</v>
      </c>
      <c r="L136" s="44" t="str">
        <f t="shared" si="58"/>
        <v>Carico</v>
      </c>
      <c r="M136" s="35">
        <f t="shared" si="59"/>
        <v>1.34350064350064</v>
      </c>
      <c r="N136" s="35">
        <f t="shared" si="60"/>
        <v>7.101360544217691</v>
      </c>
      <c r="O136" s="35">
        <f t="shared" si="61"/>
        <v>16.12200772200772</v>
      </c>
      <c r="P136" s="35">
        <f t="shared" si="62"/>
        <v>29.46104982533554</v>
      </c>
      <c r="Q136" s="35">
        <f t="shared" si="63"/>
        <v>45.295164552307426</v>
      </c>
      <c r="R136" s="35">
        <f t="shared" si="64"/>
        <v>54.219847398418835</v>
      </c>
      <c r="S136" s="35">
        <f t="shared" si="65"/>
        <v>62.37681559110132</v>
      </c>
      <c r="T136" s="35">
        <f t="shared" si="66"/>
        <v>69.09431880860453</v>
      </c>
      <c r="U136" s="36">
        <f t="shared" si="67"/>
        <v>79.65039529325244</v>
      </c>
      <c r="V136" s="36"/>
      <c r="W136" s="36">
        <f t="shared" si="68"/>
        <v>79.5352380952381</v>
      </c>
      <c r="X136" s="36"/>
      <c r="Y136" s="47">
        <v>134</v>
      </c>
      <c r="Z136" s="46">
        <f>IF(AND(Y136&gt;M136,Y136&lt;=U136,Y136&lt;=W136),_XLL.SPLINE(M136:U136,C136:K136,Y136),0)</f>
        <v>0</v>
      </c>
      <c r="AA136" s="34">
        <f t="shared" si="47"/>
        <v>0</v>
      </c>
      <c r="AB136" s="35">
        <f t="shared" si="69"/>
        <v>6.035238095238096</v>
      </c>
    </row>
    <row r="137" spans="2:28" s="35" customFormat="1" ht="12.75">
      <c r="B137" s="44" t="str">
        <f t="shared" si="48"/>
        <v>Peso</v>
      </c>
      <c r="C137" s="35">
        <f t="shared" si="49"/>
        <v>0</v>
      </c>
      <c r="D137" s="35">
        <f t="shared" si="50"/>
        <v>3.78</v>
      </c>
      <c r="E137" s="35">
        <f t="shared" si="51"/>
        <v>6.91</v>
      </c>
      <c r="F137" s="35">
        <f t="shared" si="52"/>
        <v>10.03</v>
      </c>
      <c r="G137" s="35">
        <f t="shared" si="53"/>
        <v>13.16</v>
      </c>
      <c r="H137" s="35">
        <f t="shared" si="54"/>
        <v>15.17</v>
      </c>
      <c r="I137" s="35">
        <f t="shared" si="55"/>
        <v>17.18</v>
      </c>
      <c r="J137" s="35">
        <f t="shared" si="56"/>
        <v>19.2</v>
      </c>
      <c r="K137" s="32">
        <f t="shared" si="57"/>
        <v>23</v>
      </c>
      <c r="L137" s="44" t="str">
        <f t="shared" si="58"/>
        <v>Carico</v>
      </c>
      <c r="M137" s="35">
        <f t="shared" si="59"/>
        <v>1.34350064350064</v>
      </c>
      <c r="N137" s="35">
        <f t="shared" si="60"/>
        <v>7.101360544217691</v>
      </c>
      <c r="O137" s="35">
        <f t="shared" si="61"/>
        <v>16.12200772200772</v>
      </c>
      <c r="P137" s="35">
        <f t="shared" si="62"/>
        <v>29.46104982533554</v>
      </c>
      <c r="Q137" s="35">
        <f t="shared" si="63"/>
        <v>45.295164552307426</v>
      </c>
      <c r="R137" s="35">
        <f t="shared" si="64"/>
        <v>54.219847398418835</v>
      </c>
      <c r="S137" s="35">
        <f t="shared" si="65"/>
        <v>62.37681559110132</v>
      </c>
      <c r="T137" s="35">
        <f t="shared" si="66"/>
        <v>69.09431880860453</v>
      </c>
      <c r="U137" s="36">
        <f t="shared" si="67"/>
        <v>79.65039529325244</v>
      </c>
      <c r="V137" s="36"/>
      <c r="W137" s="36">
        <f t="shared" si="68"/>
        <v>79.5352380952381</v>
      </c>
      <c r="X137" s="36"/>
      <c r="Y137" s="47">
        <v>135</v>
      </c>
      <c r="Z137" s="46">
        <f>IF(AND(Y137&gt;M137,Y137&lt;=U137,Y137&lt;=W137),_XLL.SPLINE(M137:U137,C137:K137,Y137),0)</f>
        <v>0</v>
      </c>
      <c r="AA137" s="34">
        <f t="shared" si="47"/>
        <v>0</v>
      </c>
      <c r="AB137" s="35">
        <f t="shared" si="69"/>
        <v>6.035238095238096</v>
      </c>
    </row>
    <row r="138" spans="2:28" s="35" customFormat="1" ht="12.75">
      <c r="B138" s="44" t="str">
        <f t="shared" si="48"/>
        <v>Peso</v>
      </c>
      <c r="C138" s="35">
        <f t="shared" si="49"/>
        <v>0</v>
      </c>
      <c r="D138" s="35">
        <f t="shared" si="50"/>
        <v>3.78</v>
      </c>
      <c r="E138" s="35">
        <f t="shared" si="51"/>
        <v>6.91</v>
      </c>
      <c r="F138" s="35">
        <f t="shared" si="52"/>
        <v>10.03</v>
      </c>
      <c r="G138" s="35">
        <f t="shared" si="53"/>
        <v>13.16</v>
      </c>
      <c r="H138" s="35">
        <f t="shared" si="54"/>
        <v>15.17</v>
      </c>
      <c r="I138" s="35">
        <f t="shared" si="55"/>
        <v>17.18</v>
      </c>
      <c r="J138" s="35">
        <f t="shared" si="56"/>
        <v>19.2</v>
      </c>
      <c r="K138" s="32">
        <f t="shared" si="57"/>
        <v>23</v>
      </c>
      <c r="L138" s="44" t="str">
        <f t="shared" si="58"/>
        <v>Carico</v>
      </c>
      <c r="M138" s="35">
        <f t="shared" si="59"/>
        <v>1.34350064350064</v>
      </c>
      <c r="N138" s="35">
        <f t="shared" si="60"/>
        <v>7.101360544217691</v>
      </c>
      <c r="O138" s="35">
        <f t="shared" si="61"/>
        <v>16.12200772200772</v>
      </c>
      <c r="P138" s="35">
        <f t="shared" si="62"/>
        <v>29.46104982533554</v>
      </c>
      <c r="Q138" s="35">
        <f t="shared" si="63"/>
        <v>45.295164552307426</v>
      </c>
      <c r="R138" s="35">
        <f t="shared" si="64"/>
        <v>54.219847398418835</v>
      </c>
      <c r="S138" s="35">
        <f t="shared" si="65"/>
        <v>62.37681559110132</v>
      </c>
      <c r="T138" s="35">
        <f t="shared" si="66"/>
        <v>69.09431880860453</v>
      </c>
      <c r="U138" s="36">
        <f t="shared" si="67"/>
        <v>79.65039529325244</v>
      </c>
      <c r="V138" s="36"/>
      <c r="W138" s="36">
        <f t="shared" si="68"/>
        <v>79.5352380952381</v>
      </c>
      <c r="X138" s="36"/>
      <c r="Y138" s="47">
        <v>136</v>
      </c>
      <c r="Z138" s="46">
        <f>IF(AND(Y138&gt;M138,Y138&lt;=U138,Y138&lt;=W138),_XLL.SPLINE(M138:U138,C138:K138,Y138),0)</f>
        <v>0</v>
      </c>
      <c r="AA138" s="34">
        <f t="shared" si="47"/>
        <v>0</v>
      </c>
      <c r="AB138" s="35">
        <f t="shared" si="69"/>
        <v>6.035238095238096</v>
      </c>
    </row>
    <row r="139" spans="2:28" s="35" customFormat="1" ht="12.75">
      <c r="B139" s="44" t="str">
        <f t="shared" si="48"/>
        <v>Peso</v>
      </c>
      <c r="C139" s="35">
        <f t="shared" si="49"/>
        <v>0</v>
      </c>
      <c r="D139" s="35">
        <f t="shared" si="50"/>
        <v>3.78</v>
      </c>
      <c r="E139" s="35">
        <f t="shared" si="51"/>
        <v>6.91</v>
      </c>
      <c r="F139" s="35">
        <f t="shared" si="52"/>
        <v>10.03</v>
      </c>
      <c r="G139" s="35">
        <f t="shared" si="53"/>
        <v>13.16</v>
      </c>
      <c r="H139" s="35">
        <f t="shared" si="54"/>
        <v>15.17</v>
      </c>
      <c r="I139" s="35">
        <f t="shared" si="55"/>
        <v>17.18</v>
      </c>
      <c r="J139" s="35">
        <f t="shared" si="56"/>
        <v>19.2</v>
      </c>
      <c r="K139" s="32">
        <f t="shared" si="57"/>
        <v>23</v>
      </c>
      <c r="L139" s="44" t="str">
        <f t="shared" si="58"/>
        <v>Carico</v>
      </c>
      <c r="M139" s="35">
        <f t="shared" si="59"/>
        <v>1.34350064350064</v>
      </c>
      <c r="N139" s="35">
        <f t="shared" si="60"/>
        <v>7.101360544217691</v>
      </c>
      <c r="O139" s="35">
        <f t="shared" si="61"/>
        <v>16.12200772200772</v>
      </c>
      <c r="P139" s="35">
        <f t="shared" si="62"/>
        <v>29.46104982533554</v>
      </c>
      <c r="Q139" s="35">
        <f t="shared" si="63"/>
        <v>45.295164552307426</v>
      </c>
      <c r="R139" s="35">
        <f t="shared" si="64"/>
        <v>54.219847398418835</v>
      </c>
      <c r="S139" s="35">
        <f t="shared" si="65"/>
        <v>62.37681559110132</v>
      </c>
      <c r="T139" s="35">
        <f t="shared" si="66"/>
        <v>69.09431880860453</v>
      </c>
      <c r="U139" s="36">
        <f t="shared" si="67"/>
        <v>79.65039529325244</v>
      </c>
      <c r="V139" s="36"/>
      <c r="W139" s="36">
        <f t="shared" si="68"/>
        <v>79.5352380952381</v>
      </c>
      <c r="X139" s="36"/>
      <c r="Y139" s="47">
        <v>137</v>
      </c>
      <c r="Z139" s="46">
        <f>IF(AND(Y139&gt;M139,Y139&lt;=U139,Y139&lt;=W139),_XLL.SPLINE(M139:U139,C139:K139,Y139),0)</f>
        <v>0</v>
      </c>
      <c r="AA139" s="34">
        <f t="shared" si="47"/>
        <v>0</v>
      </c>
      <c r="AB139" s="35">
        <f t="shared" si="69"/>
        <v>6.035238095238096</v>
      </c>
    </row>
    <row r="140" spans="2:28" s="35" customFormat="1" ht="12.75">
      <c r="B140" s="44" t="str">
        <f t="shared" si="48"/>
        <v>Peso</v>
      </c>
      <c r="C140" s="35">
        <f t="shared" si="49"/>
        <v>0</v>
      </c>
      <c r="D140" s="35">
        <f t="shared" si="50"/>
        <v>3.78</v>
      </c>
      <c r="E140" s="35">
        <f t="shared" si="51"/>
        <v>6.91</v>
      </c>
      <c r="F140" s="35">
        <f t="shared" si="52"/>
        <v>10.03</v>
      </c>
      <c r="G140" s="35">
        <f t="shared" si="53"/>
        <v>13.16</v>
      </c>
      <c r="H140" s="35">
        <f t="shared" si="54"/>
        <v>15.17</v>
      </c>
      <c r="I140" s="35">
        <f t="shared" si="55"/>
        <v>17.18</v>
      </c>
      <c r="J140" s="35">
        <f t="shared" si="56"/>
        <v>19.2</v>
      </c>
      <c r="K140" s="32">
        <f t="shared" si="57"/>
        <v>23</v>
      </c>
      <c r="L140" s="44" t="str">
        <f t="shared" si="58"/>
        <v>Carico</v>
      </c>
      <c r="M140" s="35">
        <f t="shared" si="59"/>
        <v>1.34350064350064</v>
      </c>
      <c r="N140" s="35">
        <f t="shared" si="60"/>
        <v>7.101360544217691</v>
      </c>
      <c r="O140" s="35">
        <f t="shared" si="61"/>
        <v>16.12200772200772</v>
      </c>
      <c r="P140" s="35">
        <f t="shared" si="62"/>
        <v>29.46104982533554</v>
      </c>
      <c r="Q140" s="35">
        <f t="shared" si="63"/>
        <v>45.295164552307426</v>
      </c>
      <c r="R140" s="35">
        <f t="shared" si="64"/>
        <v>54.219847398418835</v>
      </c>
      <c r="S140" s="35">
        <f t="shared" si="65"/>
        <v>62.37681559110132</v>
      </c>
      <c r="T140" s="35">
        <f t="shared" si="66"/>
        <v>69.09431880860453</v>
      </c>
      <c r="U140" s="36">
        <f t="shared" si="67"/>
        <v>79.65039529325244</v>
      </c>
      <c r="V140" s="36"/>
      <c r="W140" s="36">
        <f t="shared" si="68"/>
        <v>79.5352380952381</v>
      </c>
      <c r="X140" s="36"/>
      <c r="Y140" s="47">
        <v>138</v>
      </c>
      <c r="Z140" s="46">
        <f>IF(AND(Y140&gt;M140,Y140&lt;=U140,Y140&lt;=W140),_XLL.SPLINE(M140:U140,C140:K140,Y140),0)</f>
        <v>0</v>
      </c>
      <c r="AA140" s="34">
        <f t="shared" si="47"/>
        <v>0</v>
      </c>
      <c r="AB140" s="35">
        <f t="shared" si="69"/>
        <v>6.035238095238096</v>
      </c>
    </row>
    <row r="141" spans="2:28" s="35" customFormat="1" ht="12.75">
      <c r="B141" s="44" t="str">
        <f t="shared" si="48"/>
        <v>Peso</v>
      </c>
      <c r="C141" s="35">
        <f t="shared" si="49"/>
        <v>0</v>
      </c>
      <c r="D141" s="35">
        <f t="shared" si="50"/>
        <v>3.78</v>
      </c>
      <c r="E141" s="35">
        <f t="shared" si="51"/>
        <v>6.91</v>
      </c>
      <c r="F141" s="35">
        <f t="shared" si="52"/>
        <v>10.03</v>
      </c>
      <c r="G141" s="35">
        <f t="shared" si="53"/>
        <v>13.16</v>
      </c>
      <c r="H141" s="35">
        <f t="shared" si="54"/>
        <v>15.17</v>
      </c>
      <c r="I141" s="35">
        <f t="shared" si="55"/>
        <v>17.18</v>
      </c>
      <c r="J141" s="35">
        <f t="shared" si="56"/>
        <v>19.2</v>
      </c>
      <c r="K141" s="32">
        <f t="shared" si="57"/>
        <v>23</v>
      </c>
      <c r="L141" s="44" t="str">
        <f t="shared" si="58"/>
        <v>Carico</v>
      </c>
      <c r="M141" s="35">
        <f t="shared" si="59"/>
        <v>1.34350064350064</v>
      </c>
      <c r="N141" s="35">
        <f t="shared" si="60"/>
        <v>7.101360544217691</v>
      </c>
      <c r="O141" s="35">
        <f t="shared" si="61"/>
        <v>16.12200772200772</v>
      </c>
      <c r="P141" s="35">
        <f t="shared" si="62"/>
        <v>29.46104982533554</v>
      </c>
      <c r="Q141" s="35">
        <f t="shared" si="63"/>
        <v>45.295164552307426</v>
      </c>
      <c r="R141" s="35">
        <f t="shared" si="64"/>
        <v>54.219847398418835</v>
      </c>
      <c r="S141" s="35">
        <f t="shared" si="65"/>
        <v>62.37681559110132</v>
      </c>
      <c r="T141" s="35">
        <f t="shared" si="66"/>
        <v>69.09431880860453</v>
      </c>
      <c r="U141" s="36">
        <f t="shared" si="67"/>
        <v>79.65039529325244</v>
      </c>
      <c r="V141" s="36"/>
      <c r="W141" s="36">
        <f t="shared" si="68"/>
        <v>79.5352380952381</v>
      </c>
      <c r="X141" s="36"/>
      <c r="Y141" s="47">
        <v>139</v>
      </c>
      <c r="Z141" s="46">
        <f>IF(AND(Y141&gt;M141,Y141&lt;=U141,Y141&lt;=W141),_XLL.SPLINE(M141:U141,C141:K141,Y141),0)</f>
        <v>0</v>
      </c>
      <c r="AA141" s="34">
        <f t="shared" si="47"/>
        <v>0</v>
      </c>
      <c r="AB141" s="35">
        <f t="shared" si="69"/>
        <v>6.035238095238096</v>
      </c>
    </row>
    <row r="142" spans="2:28" s="35" customFormat="1" ht="12.75">
      <c r="B142" s="44" t="str">
        <f t="shared" si="48"/>
        <v>Peso</v>
      </c>
      <c r="C142" s="35">
        <f t="shared" si="49"/>
        <v>0</v>
      </c>
      <c r="D142" s="35">
        <f t="shared" si="50"/>
        <v>3.78</v>
      </c>
      <c r="E142" s="35">
        <f t="shared" si="51"/>
        <v>6.91</v>
      </c>
      <c r="F142" s="35">
        <f t="shared" si="52"/>
        <v>10.03</v>
      </c>
      <c r="G142" s="35">
        <f t="shared" si="53"/>
        <v>13.16</v>
      </c>
      <c r="H142" s="35">
        <f t="shared" si="54"/>
        <v>15.17</v>
      </c>
      <c r="I142" s="35">
        <f t="shared" si="55"/>
        <v>17.18</v>
      </c>
      <c r="J142" s="35">
        <f t="shared" si="56"/>
        <v>19.2</v>
      </c>
      <c r="K142" s="32">
        <f t="shared" si="57"/>
        <v>23</v>
      </c>
      <c r="L142" s="44" t="str">
        <f t="shared" si="58"/>
        <v>Carico</v>
      </c>
      <c r="M142" s="35">
        <f t="shared" si="59"/>
        <v>1.34350064350064</v>
      </c>
      <c r="N142" s="35">
        <f t="shared" si="60"/>
        <v>7.101360544217691</v>
      </c>
      <c r="O142" s="35">
        <f t="shared" si="61"/>
        <v>16.12200772200772</v>
      </c>
      <c r="P142" s="35">
        <f t="shared" si="62"/>
        <v>29.46104982533554</v>
      </c>
      <c r="Q142" s="35">
        <f t="shared" si="63"/>
        <v>45.295164552307426</v>
      </c>
      <c r="R142" s="35">
        <f t="shared" si="64"/>
        <v>54.219847398418835</v>
      </c>
      <c r="S142" s="35">
        <f t="shared" si="65"/>
        <v>62.37681559110132</v>
      </c>
      <c r="T142" s="35">
        <f t="shared" si="66"/>
        <v>69.09431880860453</v>
      </c>
      <c r="U142" s="36">
        <f t="shared" si="67"/>
        <v>79.65039529325244</v>
      </c>
      <c r="V142" s="36"/>
      <c r="W142" s="36">
        <f t="shared" si="68"/>
        <v>79.5352380952381</v>
      </c>
      <c r="X142" s="36"/>
      <c r="Y142" s="47">
        <v>140</v>
      </c>
      <c r="Z142" s="46">
        <f>IF(AND(Y142&gt;M142,Y142&lt;=U142,Y142&lt;=W142),_XLL.SPLINE(M142:U142,C142:K142,Y142),0)</f>
        <v>0</v>
      </c>
      <c r="AA142" s="34">
        <f t="shared" si="47"/>
        <v>0</v>
      </c>
      <c r="AB142" s="35">
        <f t="shared" si="69"/>
        <v>6.035238095238096</v>
      </c>
    </row>
    <row r="143" spans="2:28" s="35" customFormat="1" ht="12.75">
      <c r="B143" s="44" t="str">
        <f t="shared" si="48"/>
        <v>Peso</v>
      </c>
      <c r="C143" s="35">
        <f t="shared" si="49"/>
        <v>0</v>
      </c>
      <c r="D143" s="35">
        <f t="shared" si="50"/>
        <v>3.78</v>
      </c>
      <c r="E143" s="35">
        <f t="shared" si="51"/>
        <v>6.91</v>
      </c>
      <c r="F143" s="35">
        <f t="shared" si="52"/>
        <v>10.03</v>
      </c>
      <c r="G143" s="35">
        <f t="shared" si="53"/>
        <v>13.16</v>
      </c>
      <c r="H143" s="35">
        <f t="shared" si="54"/>
        <v>15.17</v>
      </c>
      <c r="I143" s="35">
        <f t="shared" si="55"/>
        <v>17.18</v>
      </c>
      <c r="J143" s="35">
        <f t="shared" si="56"/>
        <v>19.2</v>
      </c>
      <c r="K143" s="32">
        <f t="shared" si="57"/>
        <v>23</v>
      </c>
      <c r="L143" s="44" t="str">
        <f t="shared" si="58"/>
        <v>Carico</v>
      </c>
      <c r="M143" s="35">
        <f t="shared" si="59"/>
        <v>1.34350064350064</v>
      </c>
      <c r="N143" s="35">
        <f t="shared" si="60"/>
        <v>7.101360544217691</v>
      </c>
      <c r="O143" s="35">
        <f t="shared" si="61"/>
        <v>16.12200772200772</v>
      </c>
      <c r="P143" s="35">
        <f t="shared" si="62"/>
        <v>29.46104982533554</v>
      </c>
      <c r="Q143" s="35">
        <f t="shared" si="63"/>
        <v>45.295164552307426</v>
      </c>
      <c r="R143" s="35">
        <f t="shared" si="64"/>
        <v>54.219847398418835</v>
      </c>
      <c r="S143" s="35">
        <f t="shared" si="65"/>
        <v>62.37681559110132</v>
      </c>
      <c r="T143" s="35">
        <f t="shared" si="66"/>
        <v>69.09431880860453</v>
      </c>
      <c r="U143" s="36">
        <f t="shared" si="67"/>
        <v>79.65039529325244</v>
      </c>
      <c r="V143" s="36"/>
      <c r="W143" s="36">
        <f t="shared" si="68"/>
        <v>79.5352380952381</v>
      </c>
      <c r="X143" s="36"/>
      <c r="Y143" s="47">
        <v>141</v>
      </c>
      <c r="Z143" s="46">
        <f>IF(AND(Y143&gt;M143,Y143&lt;=U143,Y143&lt;=W143),_XLL.SPLINE(M143:U143,C143:K143,Y143),0)</f>
        <v>0</v>
      </c>
      <c r="AA143" s="34">
        <f t="shared" si="47"/>
        <v>0</v>
      </c>
      <c r="AB143" s="35">
        <f t="shared" si="69"/>
        <v>6.035238095238096</v>
      </c>
    </row>
    <row r="144" spans="2:28" s="35" customFormat="1" ht="12.75">
      <c r="B144" s="44" t="str">
        <f t="shared" si="48"/>
        <v>Peso</v>
      </c>
      <c r="C144" s="35">
        <f t="shared" si="49"/>
        <v>0</v>
      </c>
      <c r="D144" s="35">
        <f t="shared" si="50"/>
        <v>3.78</v>
      </c>
      <c r="E144" s="35">
        <f t="shared" si="51"/>
        <v>6.91</v>
      </c>
      <c r="F144" s="35">
        <f t="shared" si="52"/>
        <v>10.03</v>
      </c>
      <c r="G144" s="35">
        <f t="shared" si="53"/>
        <v>13.16</v>
      </c>
      <c r="H144" s="35">
        <f t="shared" si="54"/>
        <v>15.17</v>
      </c>
      <c r="I144" s="35">
        <f t="shared" si="55"/>
        <v>17.18</v>
      </c>
      <c r="J144" s="35">
        <f t="shared" si="56"/>
        <v>19.2</v>
      </c>
      <c r="K144" s="32">
        <f t="shared" si="57"/>
        <v>23</v>
      </c>
      <c r="L144" s="44" t="str">
        <f t="shared" si="58"/>
        <v>Carico</v>
      </c>
      <c r="M144" s="35">
        <f t="shared" si="59"/>
        <v>1.34350064350064</v>
      </c>
      <c r="N144" s="35">
        <f t="shared" si="60"/>
        <v>7.101360544217691</v>
      </c>
      <c r="O144" s="35">
        <f t="shared" si="61"/>
        <v>16.12200772200772</v>
      </c>
      <c r="P144" s="35">
        <f t="shared" si="62"/>
        <v>29.46104982533554</v>
      </c>
      <c r="Q144" s="35">
        <f t="shared" si="63"/>
        <v>45.295164552307426</v>
      </c>
      <c r="R144" s="35">
        <f t="shared" si="64"/>
        <v>54.219847398418835</v>
      </c>
      <c r="S144" s="35">
        <f t="shared" si="65"/>
        <v>62.37681559110132</v>
      </c>
      <c r="T144" s="35">
        <f t="shared" si="66"/>
        <v>69.09431880860453</v>
      </c>
      <c r="U144" s="36">
        <f t="shared" si="67"/>
        <v>79.65039529325244</v>
      </c>
      <c r="V144" s="36"/>
      <c r="W144" s="36">
        <f t="shared" si="68"/>
        <v>79.5352380952381</v>
      </c>
      <c r="X144" s="36"/>
      <c r="Y144" s="47">
        <v>142</v>
      </c>
      <c r="Z144" s="46">
        <f>IF(AND(Y144&gt;M144,Y144&lt;=U144,Y144&lt;=W144),_XLL.SPLINE(M144:U144,C144:K144,Y144),0)</f>
        <v>0</v>
      </c>
      <c r="AA144" s="34">
        <f t="shared" si="47"/>
        <v>0</v>
      </c>
      <c r="AB144" s="35">
        <f t="shared" si="69"/>
        <v>6.035238095238096</v>
      </c>
    </row>
    <row r="145" spans="2:28" s="35" customFormat="1" ht="12.75">
      <c r="B145" s="44" t="str">
        <f t="shared" si="48"/>
        <v>Peso</v>
      </c>
      <c r="C145" s="35">
        <f t="shared" si="49"/>
        <v>0</v>
      </c>
      <c r="D145" s="35">
        <f t="shared" si="50"/>
        <v>3.78</v>
      </c>
      <c r="E145" s="35">
        <f t="shared" si="51"/>
        <v>6.91</v>
      </c>
      <c r="F145" s="35">
        <f t="shared" si="52"/>
        <v>10.03</v>
      </c>
      <c r="G145" s="35">
        <f t="shared" si="53"/>
        <v>13.16</v>
      </c>
      <c r="H145" s="35">
        <f t="shared" si="54"/>
        <v>15.17</v>
      </c>
      <c r="I145" s="35">
        <f t="shared" si="55"/>
        <v>17.18</v>
      </c>
      <c r="J145" s="35">
        <f t="shared" si="56"/>
        <v>19.2</v>
      </c>
      <c r="K145" s="32">
        <f t="shared" si="57"/>
        <v>23</v>
      </c>
      <c r="L145" s="44" t="str">
        <f t="shared" si="58"/>
        <v>Carico</v>
      </c>
      <c r="M145" s="35">
        <f t="shared" si="59"/>
        <v>1.34350064350064</v>
      </c>
      <c r="N145" s="35">
        <f t="shared" si="60"/>
        <v>7.101360544217691</v>
      </c>
      <c r="O145" s="35">
        <f t="shared" si="61"/>
        <v>16.12200772200772</v>
      </c>
      <c r="P145" s="35">
        <f t="shared" si="62"/>
        <v>29.46104982533554</v>
      </c>
      <c r="Q145" s="35">
        <f t="shared" si="63"/>
        <v>45.295164552307426</v>
      </c>
      <c r="R145" s="35">
        <f t="shared" si="64"/>
        <v>54.219847398418835</v>
      </c>
      <c r="S145" s="35">
        <f t="shared" si="65"/>
        <v>62.37681559110132</v>
      </c>
      <c r="T145" s="35">
        <f t="shared" si="66"/>
        <v>69.09431880860453</v>
      </c>
      <c r="U145" s="36">
        <f t="shared" si="67"/>
        <v>79.65039529325244</v>
      </c>
      <c r="V145" s="36"/>
      <c r="W145" s="36">
        <f t="shared" si="68"/>
        <v>79.5352380952381</v>
      </c>
      <c r="X145" s="36"/>
      <c r="Y145" s="47">
        <v>143</v>
      </c>
      <c r="Z145" s="46">
        <f>IF(AND(Y145&gt;M145,Y145&lt;=U145,Y145&lt;=W145),_XLL.SPLINE(M145:U145,C145:K145,Y145),0)</f>
        <v>0</v>
      </c>
      <c r="AA145" s="34">
        <f t="shared" si="47"/>
        <v>0</v>
      </c>
      <c r="AB145" s="35">
        <f t="shared" si="69"/>
        <v>6.035238095238096</v>
      </c>
    </row>
    <row r="146" spans="2:28" s="35" customFormat="1" ht="12.75">
      <c r="B146" s="44" t="str">
        <f t="shared" si="48"/>
        <v>Peso</v>
      </c>
      <c r="C146" s="35">
        <f t="shared" si="49"/>
        <v>0</v>
      </c>
      <c r="D146" s="35">
        <f t="shared" si="50"/>
        <v>3.78</v>
      </c>
      <c r="E146" s="35">
        <f t="shared" si="51"/>
        <v>6.91</v>
      </c>
      <c r="F146" s="35">
        <f t="shared" si="52"/>
        <v>10.03</v>
      </c>
      <c r="G146" s="35">
        <f t="shared" si="53"/>
        <v>13.16</v>
      </c>
      <c r="H146" s="35">
        <f t="shared" si="54"/>
        <v>15.17</v>
      </c>
      <c r="I146" s="35">
        <f t="shared" si="55"/>
        <v>17.18</v>
      </c>
      <c r="J146" s="35">
        <f t="shared" si="56"/>
        <v>19.2</v>
      </c>
      <c r="K146" s="32">
        <f t="shared" si="57"/>
        <v>23</v>
      </c>
      <c r="L146" s="44" t="str">
        <f t="shared" si="58"/>
        <v>Carico</v>
      </c>
      <c r="M146" s="35">
        <f t="shared" si="59"/>
        <v>1.34350064350064</v>
      </c>
      <c r="N146" s="35">
        <f t="shared" si="60"/>
        <v>7.101360544217691</v>
      </c>
      <c r="O146" s="35">
        <f t="shared" si="61"/>
        <v>16.12200772200772</v>
      </c>
      <c r="P146" s="35">
        <f t="shared" si="62"/>
        <v>29.46104982533554</v>
      </c>
      <c r="Q146" s="35">
        <f t="shared" si="63"/>
        <v>45.295164552307426</v>
      </c>
      <c r="R146" s="35">
        <f t="shared" si="64"/>
        <v>54.219847398418835</v>
      </c>
      <c r="S146" s="35">
        <f t="shared" si="65"/>
        <v>62.37681559110132</v>
      </c>
      <c r="T146" s="35">
        <f t="shared" si="66"/>
        <v>69.09431880860453</v>
      </c>
      <c r="U146" s="36">
        <f t="shared" si="67"/>
        <v>79.65039529325244</v>
      </c>
      <c r="V146" s="36"/>
      <c r="W146" s="36">
        <f t="shared" si="68"/>
        <v>79.5352380952381</v>
      </c>
      <c r="X146" s="36"/>
      <c r="Y146" s="47">
        <v>144</v>
      </c>
      <c r="Z146" s="46">
        <f>IF(AND(Y146&gt;M146,Y146&lt;=U146,Y146&lt;=W146),_XLL.SPLINE(M146:U146,C146:K146,Y146),0)</f>
        <v>0</v>
      </c>
      <c r="AA146" s="34">
        <f t="shared" si="47"/>
        <v>0</v>
      </c>
      <c r="AB146" s="35">
        <f t="shared" si="69"/>
        <v>6.035238095238096</v>
      </c>
    </row>
    <row r="147" spans="2:28" s="35" customFormat="1" ht="12.75">
      <c r="B147" s="44" t="str">
        <f t="shared" si="48"/>
        <v>Peso</v>
      </c>
      <c r="C147" s="35">
        <f t="shared" si="49"/>
        <v>0</v>
      </c>
      <c r="D147" s="35">
        <f t="shared" si="50"/>
        <v>3.78</v>
      </c>
      <c r="E147" s="35">
        <f t="shared" si="51"/>
        <v>6.91</v>
      </c>
      <c r="F147" s="35">
        <f t="shared" si="52"/>
        <v>10.03</v>
      </c>
      <c r="G147" s="35">
        <f t="shared" si="53"/>
        <v>13.16</v>
      </c>
      <c r="H147" s="35">
        <f t="shared" si="54"/>
        <v>15.17</v>
      </c>
      <c r="I147" s="35">
        <f t="shared" si="55"/>
        <v>17.18</v>
      </c>
      <c r="J147" s="35">
        <f t="shared" si="56"/>
        <v>19.2</v>
      </c>
      <c r="K147" s="32">
        <f t="shared" si="57"/>
        <v>23</v>
      </c>
      <c r="L147" s="44" t="str">
        <f t="shared" si="58"/>
        <v>Carico</v>
      </c>
      <c r="M147" s="35">
        <f t="shared" si="59"/>
        <v>1.34350064350064</v>
      </c>
      <c r="N147" s="35">
        <f t="shared" si="60"/>
        <v>7.101360544217691</v>
      </c>
      <c r="O147" s="35">
        <f t="shared" si="61"/>
        <v>16.12200772200772</v>
      </c>
      <c r="P147" s="35">
        <f t="shared" si="62"/>
        <v>29.46104982533554</v>
      </c>
      <c r="Q147" s="35">
        <f t="shared" si="63"/>
        <v>45.295164552307426</v>
      </c>
      <c r="R147" s="35">
        <f t="shared" si="64"/>
        <v>54.219847398418835</v>
      </c>
      <c r="S147" s="35">
        <f t="shared" si="65"/>
        <v>62.37681559110132</v>
      </c>
      <c r="T147" s="35">
        <f t="shared" si="66"/>
        <v>69.09431880860453</v>
      </c>
      <c r="U147" s="36">
        <f t="shared" si="67"/>
        <v>79.65039529325244</v>
      </c>
      <c r="V147" s="36"/>
      <c r="W147" s="36">
        <f t="shared" si="68"/>
        <v>79.5352380952381</v>
      </c>
      <c r="X147" s="36"/>
      <c r="Y147" s="47">
        <v>145</v>
      </c>
      <c r="Z147" s="46">
        <f>IF(AND(Y147&gt;M147,Y147&lt;=U147,Y147&lt;=W147),_XLL.SPLINE(M147:U147,C147:K147,Y147),0)</f>
        <v>0</v>
      </c>
      <c r="AA147" s="34">
        <f t="shared" si="47"/>
        <v>0</v>
      </c>
      <c r="AB147" s="35">
        <f t="shared" si="69"/>
        <v>6.035238095238096</v>
      </c>
    </row>
    <row r="148" spans="2:28" s="35" customFormat="1" ht="12.75">
      <c r="B148" s="44" t="str">
        <f t="shared" si="48"/>
        <v>Peso</v>
      </c>
      <c r="C148" s="35">
        <f t="shared" si="49"/>
        <v>0</v>
      </c>
      <c r="D148" s="35">
        <f t="shared" si="50"/>
        <v>3.78</v>
      </c>
      <c r="E148" s="35">
        <f t="shared" si="51"/>
        <v>6.91</v>
      </c>
      <c r="F148" s="35">
        <f t="shared" si="52"/>
        <v>10.03</v>
      </c>
      <c r="G148" s="35">
        <f t="shared" si="53"/>
        <v>13.16</v>
      </c>
      <c r="H148" s="35">
        <f t="shared" si="54"/>
        <v>15.17</v>
      </c>
      <c r="I148" s="35">
        <f t="shared" si="55"/>
        <v>17.18</v>
      </c>
      <c r="J148" s="35">
        <f t="shared" si="56"/>
        <v>19.2</v>
      </c>
      <c r="K148" s="32">
        <f t="shared" si="57"/>
        <v>23</v>
      </c>
      <c r="L148" s="44" t="str">
        <f t="shared" si="58"/>
        <v>Carico</v>
      </c>
      <c r="M148" s="35">
        <f t="shared" si="59"/>
        <v>1.34350064350064</v>
      </c>
      <c r="N148" s="35">
        <f t="shared" si="60"/>
        <v>7.101360544217691</v>
      </c>
      <c r="O148" s="35">
        <f t="shared" si="61"/>
        <v>16.12200772200772</v>
      </c>
      <c r="P148" s="35">
        <f t="shared" si="62"/>
        <v>29.46104982533554</v>
      </c>
      <c r="Q148" s="35">
        <f t="shared" si="63"/>
        <v>45.295164552307426</v>
      </c>
      <c r="R148" s="35">
        <f t="shared" si="64"/>
        <v>54.219847398418835</v>
      </c>
      <c r="S148" s="35">
        <f t="shared" si="65"/>
        <v>62.37681559110132</v>
      </c>
      <c r="T148" s="35">
        <f t="shared" si="66"/>
        <v>69.09431880860453</v>
      </c>
      <c r="U148" s="36">
        <f t="shared" si="67"/>
        <v>79.65039529325244</v>
      </c>
      <c r="V148" s="36"/>
      <c r="W148" s="36">
        <f t="shared" si="68"/>
        <v>79.5352380952381</v>
      </c>
      <c r="X148" s="36"/>
      <c r="Y148" s="47">
        <v>146</v>
      </c>
      <c r="Z148" s="46">
        <f>IF(AND(Y148&gt;M148,Y148&lt;=U148,Y148&lt;=W148),_XLL.SPLINE(M148:U148,C148:K148,Y148),0)</f>
        <v>0</v>
      </c>
      <c r="AA148" s="34">
        <f t="shared" si="47"/>
        <v>0</v>
      </c>
      <c r="AB148" s="35">
        <f t="shared" si="69"/>
        <v>6.035238095238096</v>
      </c>
    </row>
    <row r="149" spans="2:28" s="35" customFormat="1" ht="12.75">
      <c r="B149" s="44" t="str">
        <f t="shared" si="48"/>
        <v>Peso</v>
      </c>
      <c r="C149" s="35">
        <f t="shared" si="49"/>
        <v>0</v>
      </c>
      <c r="D149" s="35">
        <f t="shared" si="50"/>
        <v>3.78</v>
      </c>
      <c r="E149" s="35">
        <f t="shared" si="51"/>
        <v>6.91</v>
      </c>
      <c r="F149" s="35">
        <f t="shared" si="52"/>
        <v>10.03</v>
      </c>
      <c r="G149" s="35">
        <f t="shared" si="53"/>
        <v>13.16</v>
      </c>
      <c r="H149" s="35">
        <f t="shared" si="54"/>
        <v>15.17</v>
      </c>
      <c r="I149" s="35">
        <f t="shared" si="55"/>
        <v>17.18</v>
      </c>
      <c r="J149" s="35">
        <f t="shared" si="56"/>
        <v>19.2</v>
      </c>
      <c r="K149" s="32">
        <f t="shared" si="57"/>
        <v>23</v>
      </c>
      <c r="L149" s="44" t="str">
        <f t="shared" si="58"/>
        <v>Carico</v>
      </c>
      <c r="M149" s="35">
        <f t="shared" si="59"/>
        <v>1.34350064350064</v>
      </c>
      <c r="N149" s="35">
        <f t="shared" si="60"/>
        <v>7.101360544217691</v>
      </c>
      <c r="O149" s="35">
        <f t="shared" si="61"/>
        <v>16.12200772200772</v>
      </c>
      <c r="P149" s="35">
        <f t="shared" si="62"/>
        <v>29.46104982533554</v>
      </c>
      <c r="Q149" s="35">
        <f t="shared" si="63"/>
        <v>45.295164552307426</v>
      </c>
      <c r="R149" s="35">
        <f t="shared" si="64"/>
        <v>54.219847398418835</v>
      </c>
      <c r="S149" s="35">
        <f t="shared" si="65"/>
        <v>62.37681559110132</v>
      </c>
      <c r="T149" s="35">
        <f t="shared" si="66"/>
        <v>69.09431880860453</v>
      </c>
      <c r="U149" s="36">
        <f t="shared" si="67"/>
        <v>79.65039529325244</v>
      </c>
      <c r="V149" s="36"/>
      <c r="W149" s="36">
        <f t="shared" si="68"/>
        <v>79.5352380952381</v>
      </c>
      <c r="X149" s="36"/>
      <c r="Y149" s="47">
        <v>147</v>
      </c>
      <c r="Z149" s="46">
        <f>IF(AND(Y149&gt;M149,Y149&lt;=U149,Y149&lt;=W149),_XLL.SPLINE(M149:U149,C149:K149,Y149),0)</f>
        <v>0</v>
      </c>
      <c r="AA149" s="34">
        <f t="shared" si="47"/>
        <v>0</v>
      </c>
      <c r="AB149" s="35">
        <f t="shared" si="69"/>
        <v>6.035238095238096</v>
      </c>
    </row>
    <row r="150" spans="2:28" s="35" customFormat="1" ht="12.75">
      <c r="B150" s="44" t="str">
        <f t="shared" si="48"/>
        <v>Peso</v>
      </c>
      <c r="C150" s="35">
        <f t="shared" si="49"/>
        <v>0</v>
      </c>
      <c r="D150" s="35">
        <f t="shared" si="50"/>
        <v>3.78</v>
      </c>
      <c r="E150" s="35">
        <f t="shared" si="51"/>
        <v>6.91</v>
      </c>
      <c r="F150" s="35">
        <f t="shared" si="52"/>
        <v>10.03</v>
      </c>
      <c r="G150" s="35">
        <f t="shared" si="53"/>
        <v>13.16</v>
      </c>
      <c r="H150" s="35">
        <f t="shared" si="54"/>
        <v>15.17</v>
      </c>
      <c r="I150" s="35">
        <f t="shared" si="55"/>
        <v>17.18</v>
      </c>
      <c r="J150" s="35">
        <f t="shared" si="56"/>
        <v>19.2</v>
      </c>
      <c r="K150" s="32">
        <f t="shared" si="57"/>
        <v>23</v>
      </c>
      <c r="L150" s="44" t="str">
        <f t="shared" si="58"/>
        <v>Carico</v>
      </c>
      <c r="M150" s="35">
        <f t="shared" si="59"/>
        <v>1.34350064350064</v>
      </c>
      <c r="N150" s="35">
        <f t="shared" si="60"/>
        <v>7.101360544217691</v>
      </c>
      <c r="O150" s="35">
        <f t="shared" si="61"/>
        <v>16.12200772200772</v>
      </c>
      <c r="P150" s="35">
        <f t="shared" si="62"/>
        <v>29.46104982533554</v>
      </c>
      <c r="Q150" s="35">
        <f t="shared" si="63"/>
        <v>45.295164552307426</v>
      </c>
      <c r="R150" s="35">
        <f t="shared" si="64"/>
        <v>54.219847398418835</v>
      </c>
      <c r="S150" s="35">
        <f t="shared" si="65"/>
        <v>62.37681559110132</v>
      </c>
      <c r="T150" s="35">
        <f t="shared" si="66"/>
        <v>69.09431880860453</v>
      </c>
      <c r="U150" s="36">
        <f t="shared" si="67"/>
        <v>79.65039529325244</v>
      </c>
      <c r="V150" s="36"/>
      <c r="W150" s="36">
        <f t="shared" si="68"/>
        <v>79.5352380952381</v>
      </c>
      <c r="X150" s="36"/>
      <c r="Y150" s="47">
        <v>148</v>
      </c>
      <c r="Z150" s="46">
        <f>IF(AND(Y150&gt;M150,Y150&lt;=U150,Y150&lt;=W150),_XLL.SPLINE(M150:U150,C150:K150,Y150),0)</f>
        <v>0</v>
      </c>
      <c r="AA150" s="34">
        <f t="shared" si="47"/>
        <v>0</v>
      </c>
      <c r="AB150" s="35">
        <f t="shared" si="69"/>
        <v>6.035238095238096</v>
      </c>
    </row>
    <row r="151" spans="2:28" s="35" customFormat="1" ht="12.75">
      <c r="B151" s="44" t="str">
        <f t="shared" si="48"/>
        <v>Peso</v>
      </c>
      <c r="C151" s="35">
        <f t="shared" si="49"/>
        <v>0</v>
      </c>
      <c r="D151" s="35">
        <f t="shared" si="50"/>
        <v>3.78</v>
      </c>
      <c r="E151" s="35">
        <f t="shared" si="51"/>
        <v>6.91</v>
      </c>
      <c r="F151" s="35">
        <f t="shared" si="52"/>
        <v>10.03</v>
      </c>
      <c r="G151" s="35">
        <f t="shared" si="53"/>
        <v>13.16</v>
      </c>
      <c r="H151" s="35">
        <f t="shared" si="54"/>
        <v>15.17</v>
      </c>
      <c r="I151" s="35">
        <f t="shared" si="55"/>
        <v>17.18</v>
      </c>
      <c r="J151" s="35">
        <f t="shared" si="56"/>
        <v>19.2</v>
      </c>
      <c r="K151" s="32">
        <f t="shared" si="57"/>
        <v>23</v>
      </c>
      <c r="L151" s="44" t="str">
        <f t="shared" si="58"/>
        <v>Carico</v>
      </c>
      <c r="M151" s="35">
        <f t="shared" si="59"/>
        <v>1.34350064350064</v>
      </c>
      <c r="N151" s="35">
        <f t="shared" si="60"/>
        <v>7.101360544217691</v>
      </c>
      <c r="O151" s="35">
        <f t="shared" si="61"/>
        <v>16.12200772200772</v>
      </c>
      <c r="P151" s="35">
        <f t="shared" si="62"/>
        <v>29.46104982533554</v>
      </c>
      <c r="Q151" s="35">
        <f t="shared" si="63"/>
        <v>45.295164552307426</v>
      </c>
      <c r="R151" s="35">
        <f t="shared" si="64"/>
        <v>54.219847398418835</v>
      </c>
      <c r="S151" s="35">
        <f t="shared" si="65"/>
        <v>62.37681559110132</v>
      </c>
      <c r="T151" s="35">
        <f t="shared" si="66"/>
        <v>69.09431880860453</v>
      </c>
      <c r="U151" s="36">
        <f t="shared" si="67"/>
        <v>79.65039529325244</v>
      </c>
      <c r="V151" s="36"/>
      <c r="W151" s="36">
        <f t="shared" si="68"/>
        <v>79.5352380952381</v>
      </c>
      <c r="X151" s="36"/>
      <c r="Y151" s="47">
        <v>149</v>
      </c>
      <c r="Z151" s="46">
        <f>IF(AND(Y151&gt;M151,Y151&lt;=U151,Y151&lt;=W151),_XLL.SPLINE(M151:U151,C151:K151,Y151),0)</f>
        <v>0</v>
      </c>
      <c r="AA151" s="34">
        <f t="shared" si="47"/>
        <v>0</v>
      </c>
      <c r="AB151" s="35">
        <f t="shared" si="69"/>
        <v>6.035238095238096</v>
      </c>
    </row>
    <row r="152" spans="2:28" s="35" customFormat="1" ht="12.75">
      <c r="B152" s="44" t="str">
        <f t="shared" si="48"/>
        <v>Peso</v>
      </c>
      <c r="C152" s="35">
        <f t="shared" si="49"/>
        <v>0</v>
      </c>
      <c r="D152" s="35">
        <f t="shared" si="50"/>
        <v>3.78</v>
      </c>
      <c r="E152" s="35">
        <f t="shared" si="51"/>
        <v>6.91</v>
      </c>
      <c r="F152" s="35">
        <f t="shared" si="52"/>
        <v>10.03</v>
      </c>
      <c r="G152" s="35">
        <f t="shared" si="53"/>
        <v>13.16</v>
      </c>
      <c r="H152" s="35">
        <f t="shared" si="54"/>
        <v>15.17</v>
      </c>
      <c r="I152" s="35">
        <f t="shared" si="55"/>
        <v>17.18</v>
      </c>
      <c r="J152" s="35">
        <f t="shared" si="56"/>
        <v>19.2</v>
      </c>
      <c r="K152" s="32">
        <f t="shared" si="57"/>
        <v>23</v>
      </c>
      <c r="L152" s="44" t="str">
        <f t="shared" si="58"/>
        <v>Carico</v>
      </c>
      <c r="M152" s="35">
        <f t="shared" si="59"/>
        <v>1.34350064350064</v>
      </c>
      <c r="N152" s="35">
        <f t="shared" si="60"/>
        <v>7.101360544217691</v>
      </c>
      <c r="O152" s="35">
        <f t="shared" si="61"/>
        <v>16.12200772200772</v>
      </c>
      <c r="P152" s="35">
        <f t="shared" si="62"/>
        <v>29.46104982533554</v>
      </c>
      <c r="Q152" s="35">
        <f t="shared" si="63"/>
        <v>45.295164552307426</v>
      </c>
      <c r="R152" s="35">
        <f t="shared" si="64"/>
        <v>54.219847398418835</v>
      </c>
      <c r="S152" s="35">
        <f t="shared" si="65"/>
        <v>62.37681559110132</v>
      </c>
      <c r="T152" s="35">
        <f t="shared" si="66"/>
        <v>69.09431880860453</v>
      </c>
      <c r="U152" s="36">
        <f t="shared" si="67"/>
        <v>79.65039529325244</v>
      </c>
      <c r="V152" s="36"/>
      <c r="W152" s="36">
        <f t="shared" si="68"/>
        <v>79.5352380952381</v>
      </c>
      <c r="X152" s="36"/>
      <c r="Y152" s="47">
        <v>150</v>
      </c>
      <c r="Z152" s="46">
        <f>IF(AND(Y152&gt;M152,Y152&lt;=U152,Y152&lt;=W152),_XLL.SPLINE(M152:U152,C152:K152,Y152),0)</f>
        <v>0</v>
      </c>
      <c r="AA152" s="34">
        <f t="shared" si="47"/>
        <v>0</v>
      </c>
      <c r="AB152" s="35">
        <f t="shared" si="69"/>
        <v>6.035238095238096</v>
      </c>
    </row>
    <row r="153" spans="2:28" s="35" customFormat="1" ht="12.75">
      <c r="B153" s="44" t="str">
        <f t="shared" si="48"/>
        <v>Peso</v>
      </c>
      <c r="C153" s="35">
        <f t="shared" si="49"/>
        <v>0</v>
      </c>
      <c r="D153" s="35">
        <f t="shared" si="50"/>
        <v>3.78</v>
      </c>
      <c r="E153" s="35">
        <f t="shared" si="51"/>
        <v>6.91</v>
      </c>
      <c r="F153" s="35">
        <f t="shared" si="52"/>
        <v>10.03</v>
      </c>
      <c r="G153" s="35">
        <f t="shared" si="53"/>
        <v>13.16</v>
      </c>
      <c r="H153" s="35">
        <f t="shared" si="54"/>
        <v>15.17</v>
      </c>
      <c r="I153" s="35">
        <f t="shared" si="55"/>
        <v>17.18</v>
      </c>
      <c r="J153" s="35">
        <f t="shared" si="56"/>
        <v>19.2</v>
      </c>
      <c r="K153" s="32">
        <f t="shared" si="57"/>
        <v>23</v>
      </c>
      <c r="L153" s="44" t="str">
        <f t="shared" si="58"/>
        <v>Carico</v>
      </c>
      <c r="M153" s="35">
        <f t="shared" si="59"/>
        <v>1.34350064350064</v>
      </c>
      <c r="N153" s="35">
        <f t="shared" si="60"/>
        <v>7.101360544217691</v>
      </c>
      <c r="O153" s="35">
        <f t="shared" si="61"/>
        <v>16.12200772200772</v>
      </c>
      <c r="P153" s="35">
        <f t="shared" si="62"/>
        <v>29.46104982533554</v>
      </c>
      <c r="Q153" s="35">
        <f t="shared" si="63"/>
        <v>45.295164552307426</v>
      </c>
      <c r="R153" s="35">
        <f t="shared" si="64"/>
        <v>54.219847398418835</v>
      </c>
      <c r="S153" s="35">
        <f t="shared" si="65"/>
        <v>62.37681559110132</v>
      </c>
      <c r="T153" s="35">
        <f t="shared" si="66"/>
        <v>69.09431880860453</v>
      </c>
      <c r="U153" s="36">
        <f t="shared" si="67"/>
        <v>79.65039529325244</v>
      </c>
      <c r="V153" s="36"/>
      <c r="W153" s="36">
        <f t="shared" si="68"/>
        <v>79.5352380952381</v>
      </c>
      <c r="X153" s="36"/>
      <c r="Y153" s="47">
        <v>151</v>
      </c>
      <c r="Z153" s="46">
        <f>IF(AND(Y153&gt;M153,Y153&lt;=U153,Y153&lt;=W153),_XLL.SPLINE(M153:U153,C153:K153,Y153),0)</f>
        <v>0</v>
      </c>
      <c r="AA153" s="34">
        <f t="shared" si="47"/>
        <v>0</v>
      </c>
      <c r="AB153" s="35">
        <f t="shared" si="69"/>
        <v>6.035238095238096</v>
      </c>
    </row>
    <row r="154" spans="2:28" s="35" customFormat="1" ht="12.75">
      <c r="B154" s="44" t="str">
        <f t="shared" si="48"/>
        <v>Peso</v>
      </c>
      <c r="C154" s="35">
        <f t="shared" si="49"/>
        <v>0</v>
      </c>
      <c r="D154" s="35">
        <f t="shared" si="50"/>
        <v>3.78</v>
      </c>
      <c r="E154" s="35">
        <f t="shared" si="51"/>
        <v>6.91</v>
      </c>
      <c r="F154" s="35">
        <f t="shared" si="52"/>
        <v>10.03</v>
      </c>
      <c r="G154" s="35">
        <f t="shared" si="53"/>
        <v>13.16</v>
      </c>
      <c r="H154" s="35">
        <f t="shared" si="54"/>
        <v>15.17</v>
      </c>
      <c r="I154" s="35">
        <f t="shared" si="55"/>
        <v>17.18</v>
      </c>
      <c r="J154" s="35">
        <f t="shared" si="56"/>
        <v>19.2</v>
      </c>
      <c r="K154" s="32">
        <f t="shared" si="57"/>
        <v>23</v>
      </c>
      <c r="L154" s="44" t="str">
        <f t="shared" si="58"/>
        <v>Carico</v>
      </c>
      <c r="M154" s="35">
        <f t="shared" si="59"/>
        <v>1.34350064350064</v>
      </c>
      <c r="N154" s="35">
        <f t="shared" si="60"/>
        <v>7.101360544217691</v>
      </c>
      <c r="O154" s="35">
        <f t="shared" si="61"/>
        <v>16.12200772200772</v>
      </c>
      <c r="P154" s="35">
        <f t="shared" si="62"/>
        <v>29.46104982533554</v>
      </c>
      <c r="Q154" s="35">
        <f t="shared" si="63"/>
        <v>45.295164552307426</v>
      </c>
      <c r="R154" s="35">
        <f t="shared" si="64"/>
        <v>54.219847398418835</v>
      </c>
      <c r="S154" s="35">
        <f t="shared" si="65"/>
        <v>62.37681559110132</v>
      </c>
      <c r="T154" s="35">
        <f t="shared" si="66"/>
        <v>69.09431880860453</v>
      </c>
      <c r="U154" s="36">
        <f t="shared" si="67"/>
        <v>79.65039529325244</v>
      </c>
      <c r="V154" s="36"/>
      <c r="W154" s="36">
        <f t="shared" si="68"/>
        <v>79.5352380952381</v>
      </c>
      <c r="X154" s="36"/>
      <c r="Y154" s="47">
        <v>152</v>
      </c>
      <c r="Z154" s="46">
        <f>IF(AND(Y154&gt;M154,Y154&lt;=U154,Y154&lt;=W154),_XLL.SPLINE(M154:U154,C154:K154,Y154),0)</f>
        <v>0</v>
      </c>
      <c r="AA154" s="34">
        <f t="shared" si="47"/>
        <v>0</v>
      </c>
      <c r="AB154" s="35">
        <f t="shared" si="69"/>
        <v>6.035238095238096</v>
      </c>
    </row>
    <row r="155" spans="2:28" s="35" customFormat="1" ht="12.75">
      <c r="B155" s="44" t="str">
        <f t="shared" si="48"/>
        <v>Peso</v>
      </c>
      <c r="C155" s="35">
        <f t="shared" si="49"/>
        <v>0</v>
      </c>
      <c r="D155" s="35">
        <f t="shared" si="50"/>
        <v>3.78</v>
      </c>
      <c r="E155" s="35">
        <f t="shared" si="51"/>
        <v>6.91</v>
      </c>
      <c r="F155" s="35">
        <f t="shared" si="52"/>
        <v>10.03</v>
      </c>
      <c r="G155" s="35">
        <f t="shared" si="53"/>
        <v>13.16</v>
      </c>
      <c r="H155" s="35">
        <f t="shared" si="54"/>
        <v>15.17</v>
      </c>
      <c r="I155" s="35">
        <f t="shared" si="55"/>
        <v>17.18</v>
      </c>
      <c r="J155" s="35">
        <f t="shared" si="56"/>
        <v>19.2</v>
      </c>
      <c r="K155" s="32">
        <f t="shared" si="57"/>
        <v>23</v>
      </c>
      <c r="L155" s="44" t="str">
        <f t="shared" si="58"/>
        <v>Carico</v>
      </c>
      <c r="M155" s="35">
        <f t="shared" si="59"/>
        <v>1.34350064350064</v>
      </c>
      <c r="N155" s="35">
        <f t="shared" si="60"/>
        <v>7.101360544217691</v>
      </c>
      <c r="O155" s="35">
        <f t="shared" si="61"/>
        <v>16.12200772200772</v>
      </c>
      <c r="P155" s="35">
        <f t="shared" si="62"/>
        <v>29.46104982533554</v>
      </c>
      <c r="Q155" s="35">
        <f t="shared" si="63"/>
        <v>45.295164552307426</v>
      </c>
      <c r="R155" s="35">
        <f t="shared" si="64"/>
        <v>54.219847398418835</v>
      </c>
      <c r="S155" s="35">
        <f t="shared" si="65"/>
        <v>62.37681559110132</v>
      </c>
      <c r="T155" s="35">
        <f t="shared" si="66"/>
        <v>69.09431880860453</v>
      </c>
      <c r="U155" s="36">
        <f t="shared" si="67"/>
        <v>79.65039529325244</v>
      </c>
      <c r="V155" s="36"/>
      <c r="W155" s="36">
        <f t="shared" si="68"/>
        <v>79.5352380952381</v>
      </c>
      <c r="X155" s="36"/>
      <c r="Y155" s="47">
        <v>153</v>
      </c>
      <c r="Z155" s="46">
        <f>IF(AND(Y155&gt;M155,Y155&lt;=U155,Y155&lt;=W155),_XLL.SPLINE(M155:U155,C155:K155,Y155),0)</f>
        <v>0</v>
      </c>
      <c r="AA155" s="34">
        <f t="shared" si="47"/>
        <v>0</v>
      </c>
      <c r="AB155" s="35">
        <f t="shared" si="69"/>
        <v>6.035238095238096</v>
      </c>
    </row>
    <row r="156" spans="2:28" s="35" customFormat="1" ht="12.75">
      <c r="B156" s="44" t="str">
        <f t="shared" si="48"/>
        <v>Peso</v>
      </c>
      <c r="C156" s="35">
        <f t="shared" si="49"/>
        <v>0</v>
      </c>
      <c r="D156" s="35">
        <f t="shared" si="50"/>
        <v>3.78</v>
      </c>
      <c r="E156" s="35">
        <f t="shared" si="51"/>
        <v>6.91</v>
      </c>
      <c r="F156" s="35">
        <f t="shared" si="52"/>
        <v>10.03</v>
      </c>
      <c r="G156" s="35">
        <f t="shared" si="53"/>
        <v>13.16</v>
      </c>
      <c r="H156" s="35">
        <f t="shared" si="54"/>
        <v>15.17</v>
      </c>
      <c r="I156" s="35">
        <f t="shared" si="55"/>
        <v>17.18</v>
      </c>
      <c r="J156" s="35">
        <f t="shared" si="56"/>
        <v>19.2</v>
      </c>
      <c r="K156" s="32">
        <f t="shared" si="57"/>
        <v>23</v>
      </c>
      <c r="L156" s="44" t="str">
        <f t="shared" si="58"/>
        <v>Carico</v>
      </c>
      <c r="M156" s="35">
        <f t="shared" si="59"/>
        <v>1.34350064350064</v>
      </c>
      <c r="N156" s="35">
        <f t="shared" si="60"/>
        <v>7.101360544217691</v>
      </c>
      <c r="O156" s="35">
        <f t="shared" si="61"/>
        <v>16.12200772200772</v>
      </c>
      <c r="P156" s="35">
        <f t="shared" si="62"/>
        <v>29.46104982533554</v>
      </c>
      <c r="Q156" s="35">
        <f t="shared" si="63"/>
        <v>45.295164552307426</v>
      </c>
      <c r="R156" s="35">
        <f t="shared" si="64"/>
        <v>54.219847398418835</v>
      </c>
      <c r="S156" s="35">
        <f t="shared" si="65"/>
        <v>62.37681559110132</v>
      </c>
      <c r="T156" s="35">
        <f t="shared" si="66"/>
        <v>69.09431880860453</v>
      </c>
      <c r="U156" s="36">
        <f t="shared" si="67"/>
        <v>79.65039529325244</v>
      </c>
      <c r="V156" s="36"/>
      <c r="W156" s="36">
        <f t="shared" si="68"/>
        <v>79.5352380952381</v>
      </c>
      <c r="X156" s="36"/>
      <c r="Y156" s="47">
        <v>154</v>
      </c>
      <c r="Z156" s="46">
        <f>IF(AND(Y156&gt;M156,Y156&lt;=U156,Y156&lt;=W156),_XLL.SPLINE(M156:U156,C156:K156,Y156),0)</f>
        <v>0</v>
      </c>
      <c r="AA156" s="34">
        <f t="shared" si="47"/>
        <v>0</v>
      </c>
      <c r="AB156" s="35">
        <f t="shared" si="69"/>
        <v>6.035238095238096</v>
      </c>
    </row>
    <row r="157" spans="2:28" s="35" customFormat="1" ht="12.75">
      <c r="B157" s="44" t="str">
        <f t="shared" si="48"/>
        <v>Peso</v>
      </c>
      <c r="C157" s="35">
        <f t="shared" si="49"/>
        <v>0</v>
      </c>
      <c r="D157" s="35">
        <f t="shared" si="50"/>
        <v>3.78</v>
      </c>
      <c r="E157" s="35">
        <f t="shared" si="51"/>
        <v>6.91</v>
      </c>
      <c r="F157" s="35">
        <f t="shared" si="52"/>
        <v>10.03</v>
      </c>
      <c r="G157" s="35">
        <f t="shared" si="53"/>
        <v>13.16</v>
      </c>
      <c r="H157" s="35">
        <f t="shared" si="54"/>
        <v>15.17</v>
      </c>
      <c r="I157" s="35">
        <f t="shared" si="55"/>
        <v>17.18</v>
      </c>
      <c r="J157" s="35">
        <f t="shared" si="56"/>
        <v>19.2</v>
      </c>
      <c r="K157" s="32">
        <f t="shared" si="57"/>
        <v>23</v>
      </c>
      <c r="L157" s="44" t="str">
        <f t="shared" si="58"/>
        <v>Carico</v>
      </c>
      <c r="M157" s="35">
        <f t="shared" si="59"/>
        <v>1.34350064350064</v>
      </c>
      <c r="N157" s="35">
        <f t="shared" si="60"/>
        <v>7.101360544217691</v>
      </c>
      <c r="O157" s="35">
        <f t="shared" si="61"/>
        <v>16.12200772200772</v>
      </c>
      <c r="P157" s="35">
        <f t="shared" si="62"/>
        <v>29.46104982533554</v>
      </c>
      <c r="Q157" s="35">
        <f t="shared" si="63"/>
        <v>45.295164552307426</v>
      </c>
      <c r="R157" s="35">
        <f t="shared" si="64"/>
        <v>54.219847398418835</v>
      </c>
      <c r="S157" s="35">
        <f t="shared" si="65"/>
        <v>62.37681559110132</v>
      </c>
      <c r="T157" s="35">
        <f t="shared" si="66"/>
        <v>69.09431880860453</v>
      </c>
      <c r="U157" s="36">
        <f t="shared" si="67"/>
        <v>79.65039529325244</v>
      </c>
      <c r="V157" s="36"/>
      <c r="W157" s="36">
        <f t="shared" si="68"/>
        <v>79.5352380952381</v>
      </c>
      <c r="X157" s="36"/>
      <c r="Y157" s="47">
        <v>155</v>
      </c>
      <c r="Z157" s="46">
        <f>IF(AND(Y157&gt;M157,Y157&lt;=U157,Y157&lt;=W157),_XLL.SPLINE(M157:U157,C157:K157,Y157),0)</f>
        <v>0</v>
      </c>
      <c r="AA157" s="34">
        <f t="shared" si="47"/>
        <v>0</v>
      </c>
      <c r="AB157" s="35">
        <f t="shared" si="69"/>
        <v>6.035238095238096</v>
      </c>
    </row>
    <row r="158" spans="2:28" s="35" customFormat="1" ht="12.75">
      <c r="B158" s="44" t="str">
        <f t="shared" si="48"/>
        <v>Peso</v>
      </c>
      <c r="C158" s="35">
        <f t="shared" si="49"/>
        <v>0</v>
      </c>
      <c r="D158" s="35">
        <f t="shared" si="50"/>
        <v>3.78</v>
      </c>
      <c r="E158" s="35">
        <f t="shared" si="51"/>
        <v>6.91</v>
      </c>
      <c r="F158" s="35">
        <f t="shared" si="52"/>
        <v>10.03</v>
      </c>
      <c r="G158" s="35">
        <f t="shared" si="53"/>
        <v>13.16</v>
      </c>
      <c r="H158" s="35">
        <f t="shared" si="54"/>
        <v>15.17</v>
      </c>
      <c r="I158" s="35">
        <f t="shared" si="55"/>
        <v>17.18</v>
      </c>
      <c r="J158" s="35">
        <f t="shared" si="56"/>
        <v>19.2</v>
      </c>
      <c r="K158" s="32">
        <f t="shared" si="57"/>
        <v>23</v>
      </c>
      <c r="L158" s="44" t="str">
        <f t="shared" si="58"/>
        <v>Carico</v>
      </c>
      <c r="M158" s="35">
        <f t="shared" si="59"/>
        <v>1.34350064350064</v>
      </c>
      <c r="N158" s="35">
        <f t="shared" si="60"/>
        <v>7.101360544217691</v>
      </c>
      <c r="O158" s="35">
        <f t="shared" si="61"/>
        <v>16.12200772200772</v>
      </c>
      <c r="P158" s="35">
        <f t="shared" si="62"/>
        <v>29.46104982533554</v>
      </c>
      <c r="Q158" s="35">
        <f t="shared" si="63"/>
        <v>45.295164552307426</v>
      </c>
      <c r="R158" s="35">
        <f t="shared" si="64"/>
        <v>54.219847398418835</v>
      </c>
      <c r="S158" s="35">
        <f t="shared" si="65"/>
        <v>62.37681559110132</v>
      </c>
      <c r="T158" s="35">
        <f t="shared" si="66"/>
        <v>69.09431880860453</v>
      </c>
      <c r="U158" s="36">
        <f t="shared" si="67"/>
        <v>79.65039529325244</v>
      </c>
      <c r="V158" s="36"/>
      <c r="W158" s="36">
        <f t="shared" si="68"/>
        <v>79.5352380952381</v>
      </c>
      <c r="X158" s="36"/>
      <c r="Y158" s="47">
        <v>156</v>
      </c>
      <c r="Z158" s="46">
        <f>IF(AND(Y158&gt;M158,Y158&lt;=U158,Y158&lt;=W158),_XLL.SPLINE(M158:U158,C158:K158,Y158),0)</f>
        <v>0</v>
      </c>
      <c r="AA158" s="34">
        <f t="shared" si="47"/>
        <v>0</v>
      </c>
      <c r="AB158" s="35">
        <f t="shared" si="69"/>
        <v>6.035238095238096</v>
      </c>
    </row>
    <row r="159" spans="2:28" s="35" customFormat="1" ht="12.75">
      <c r="B159" s="44" t="str">
        <f t="shared" si="48"/>
        <v>Peso</v>
      </c>
      <c r="C159" s="35">
        <f t="shared" si="49"/>
        <v>0</v>
      </c>
      <c r="D159" s="35">
        <f t="shared" si="50"/>
        <v>3.78</v>
      </c>
      <c r="E159" s="35">
        <f t="shared" si="51"/>
        <v>6.91</v>
      </c>
      <c r="F159" s="35">
        <f t="shared" si="52"/>
        <v>10.03</v>
      </c>
      <c r="G159" s="35">
        <f t="shared" si="53"/>
        <v>13.16</v>
      </c>
      <c r="H159" s="35">
        <f t="shared" si="54"/>
        <v>15.17</v>
      </c>
      <c r="I159" s="35">
        <f t="shared" si="55"/>
        <v>17.18</v>
      </c>
      <c r="J159" s="35">
        <f t="shared" si="56"/>
        <v>19.2</v>
      </c>
      <c r="K159" s="32">
        <f t="shared" si="57"/>
        <v>23</v>
      </c>
      <c r="L159" s="44" t="str">
        <f t="shared" si="58"/>
        <v>Carico</v>
      </c>
      <c r="M159" s="35">
        <f t="shared" si="59"/>
        <v>1.34350064350064</v>
      </c>
      <c r="N159" s="35">
        <f t="shared" si="60"/>
        <v>7.101360544217691</v>
      </c>
      <c r="O159" s="35">
        <f t="shared" si="61"/>
        <v>16.12200772200772</v>
      </c>
      <c r="P159" s="35">
        <f t="shared" si="62"/>
        <v>29.46104982533554</v>
      </c>
      <c r="Q159" s="35">
        <f t="shared" si="63"/>
        <v>45.295164552307426</v>
      </c>
      <c r="R159" s="35">
        <f t="shared" si="64"/>
        <v>54.219847398418835</v>
      </c>
      <c r="S159" s="35">
        <f t="shared" si="65"/>
        <v>62.37681559110132</v>
      </c>
      <c r="T159" s="35">
        <f t="shared" si="66"/>
        <v>69.09431880860453</v>
      </c>
      <c r="U159" s="36">
        <f t="shared" si="67"/>
        <v>79.65039529325244</v>
      </c>
      <c r="V159" s="36"/>
      <c r="W159" s="36">
        <f t="shared" si="68"/>
        <v>79.5352380952381</v>
      </c>
      <c r="X159" s="36"/>
      <c r="Y159" s="47">
        <v>157</v>
      </c>
      <c r="Z159" s="46">
        <f>IF(AND(Y159&gt;M159,Y159&lt;=U159,Y159&lt;=W159),_XLL.SPLINE(M159:U159,C159:K159,Y159),0)</f>
        <v>0</v>
      </c>
      <c r="AA159" s="34">
        <f t="shared" si="47"/>
        <v>0</v>
      </c>
      <c r="AB159" s="35">
        <f t="shared" si="69"/>
        <v>6.035238095238096</v>
      </c>
    </row>
    <row r="160" spans="2:28" s="35" customFormat="1" ht="12.75">
      <c r="B160" s="44" t="str">
        <f t="shared" si="48"/>
        <v>Peso</v>
      </c>
      <c r="C160" s="35">
        <f t="shared" si="49"/>
        <v>0</v>
      </c>
      <c r="D160" s="35">
        <f t="shared" si="50"/>
        <v>3.78</v>
      </c>
      <c r="E160" s="35">
        <f t="shared" si="51"/>
        <v>6.91</v>
      </c>
      <c r="F160" s="35">
        <f t="shared" si="52"/>
        <v>10.03</v>
      </c>
      <c r="G160" s="35">
        <f t="shared" si="53"/>
        <v>13.16</v>
      </c>
      <c r="H160" s="35">
        <f t="shared" si="54"/>
        <v>15.17</v>
      </c>
      <c r="I160" s="35">
        <f t="shared" si="55"/>
        <v>17.18</v>
      </c>
      <c r="J160" s="35">
        <f t="shared" si="56"/>
        <v>19.2</v>
      </c>
      <c r="K160" s="32">
        <f t="shared" si="57"/>
        <v>23</v>
      </c>
      <c r="L160" s="44" t="str">
        <f t="shared" si="58"/>
        <v>Carico</v>
      </c>
      <c r="M160" s="35">
        <f t="shared" si="59"/>
        <v>1.34350064350064</v>
      </c>
      <c r="N160" s="35">
        <f t="shared" si="60"/>
        <v>7.101360544217691</v>
      </c>
      <c r="O160" s="35">
        <f t="shared" si="61"/>
        <v>16.12200772200772</v>
      </c>
      <c r="P160" s="35">
        <f t="shared" si="62"/>
        <v>29.46104982533554</v>
      </c>
      <c r="Q160" s="35">
        <f t="shared" si="63"/>
        <v>45.295164552307426</v>
      </c>
      <c r="R160" s="35">
        <f t="shared" si="64"/>
        <v>54.219847398418835</v>
      </c>
      <c r="S160" s="35">
        <f t="shared" si="65"/>
        <v>62.37681559110132</v>
      </c>
      <c r="T160" s="35">
        <f t="shared" si="66"/>
        <v>69.09431880860453</v>
      </c>
      <c r="U160" s="36">
        <f t="shared" si="67"/>
        <v>79.65039529325244</v>
      </c>
      <c r="V160" s="36"/>
      <c r="W160" s="36">
        <f t="shared" si="68"/>
        <v>79.5352380952381</v>
      </c>
      <c r="X160" s="36"/>
      <c r="Y160" s="47">
        <v>158</v>
      </c>
      <c r="Z160" s="46">
        <f>IF(AND(Y160&gt;M160,Y160&lt;=U160,Y160&lt;=W160),_XLL.SPLINE(M160:U160,C160:K160,Y160),0)</f>
        <v>0</v>
      </c>
      <c r="AA160" s="34">
        <f t="shared" si="47"/>
        <v>0</v>
      </c>
      <c r="AB160" s="35">
        <f t="shared" si="69"/>
        <v>6.035238095238096</v>
      </c>
    </row>
    <row r="161" spans="2:28" s="35" customFormat="1" ht="12.75">
      <c r="B161" s="44" t="str">
        <f t="shared" si="48"/>
        <v>Peso</v>
      </c>
      <c r="C161" s="35">
        <f t="shared" si="49"/>
        <v>0</v>
      </c>
      <c r="D161" s="35">
        <f t="shared" si="50"/>
        <v>3.78</v>
      </c>
      <c r="E161" s="35">
        <f t="shared" si="51"/>
        <v>6.91</v>
      </c>
      <c r="F161" s="35">
        <f t="shared" si="52"/>
        <v>10.03</v>
      </c>
      <c r="G161" s="35">
        <f t="shared" si="53"/>
        <v>13.16</v>
      </c>
      <c r="H161" s="35">
        <f t="shared" si="54"/>
        <v>15.17</v>
      </c>
      <c r="I161" s="35">
        <f t="shared" si="55"/>
        <v>17.18</v>
      </c>
      <c r="J161" s="35">
        <f t="shared" si="56"/>
        <v>19.2</v>
      </c>
      <c r="K161" s="32">
        <f t="shared" si="57"/>
        <v>23</v>
      </c>
      <c r="L161" s="44" t="str">
        <f t="shared" si="58"/>
        <v>Carico</v>
      </c>
      <c r="M161" s="35">
        <f t="shared" si="59"/>
        <v>1.34350064350064</v>
      </c>
      <c r="N161" s="35">
        <f t="shared" si="60"/>
        <v>7.101360544217691</v>
      </c>
      <c r="O161" s="35">
        <f t="shared" si="61"/>
        <v>16.12200772200772</v>
      </c>
      <c r="P161" s="35">
        <f t="shared" si="62"/>
        <v>29.46104982533554</v>
      </c>
      <c r="Q161" s="35">
        <f t="shared" si="63"/>
        <v>45.295164552307426</v>
      </c>
      <c r="R161" s="35">
        <f t="shared" si="64"/>
        <v>54.219847398418835</v>
      </c>
      <c r="S161" s="35">
        <f t="shared" si="65"/>
        <v>62.37681559110132</v>
      </c>
      <c r="T161" s="35">
        <f t="shared" si="66"/>
        <v>69.09431880860453</v>
      </c>
      <c r="U161" s="36">
        <f t="shared" si="67"/>
        <v>79.65039529325244</v>
      </c>
      <c r="V161" s="36"/>
      <c r="W161" s="36">
        <f t="shared" si="68"/>
        <v>79.5352380952381</v>
      </c>
      <c r="X161" s="36"/>
      <c r="Y161" s="47">
        <v>159</v>
      </c>
      <c r="Z161" s="46">
        <f>IF(AND(Y161&gt;M161,Y161&lt;=U161,Y161&lt;=W161),_XLL.SPLINE(M161:U161,C161:K161,Y161),0)</f>
        <v>0</v>
      </c>
      <c r="AA161" s="34">
        <f t="shared" si="47"/>
        <v>0</v>
      </c>
      <c r="AB161" s="35">
        <f t="shared" si="69"/>
        <v>6.035238095238096</v>
      </c>
    </row>
    <row r="162" spans="2:28" s="35" customFormat="1" ht="12.75">
      <c r="B162" s="44" t="str">
        <f t="shared" si="48"/>
        <v>Peso</v>
      </c>
      <c r="C162" s="35">
        <f t="shared" si="49"/>
        <v>0</v>
      </c>
      <c r="D162" s="35">
        <f t="shared" si="50"/>
        <v>3.78</v>
      </c>
      <c r="E162" s="35">
        <f t="shared" si="51"/>
        <v>6.91</v>
      </c>
      <c r="F162" s="35">
        <f t="shared" si="52"/>
        <v>10.03</v>
      </c>
      <c r="G162" s="35">
        <f t="shared" si="53"/>
        <v>13.16</v>
      </c>
      <c r="H162" s="35">
        <f t="shared" si="54"/>
        <v>15.17</v>
      </c>
      <c r="I162" s="35">
        <f t="shared" si="55"/>
        <v>17.18</v>
      </c>
      <c r="J162" s="35">
        <f t="shared" si="56"/>
        <v>19.2</v>
      </c>
      <c r="K162" s="32">
        <f t="shared" si="57"/>
        <v>23</v>
      </c>
      <c r="L162" s="44" t="str">
        <f t="shared" si="58"/>
        <v>Carico</v>
      </c>
      <c r="M162" s="35">
        <f t="shared" si="59"/>
        <v>1.34350064350064</v>
      </c>
      <c r="N162" s="35">
        <f t="shared" si="60"/>
        <v>7.101360544217691</v>
      </c>
      <c r="O162" s="35">
        <f t="shared" si="61"/>
        <v>16.12200772200772</v>
      </c>
      <c r="P162" s="35">
        <f t="shared" si="62"/>
        <v>29.46104982533554</v>
      </c>
      <c r="Q162" s="35">
        <f t="shared" si="63"/>
        <v>45.295164552307426</v>
      </c>
      <c r="R162" s="35">
        <f t="shared" si="64"/>
        <v>54.219847398418835</v>
      </c>
      <c r="S162" s="35">
        <f t="shared" si="65"/>
        <v>62.37681559110132</v>
      </c>
      <c r="T162" s="35">
        <f t="shared" si="66"/>
        <v>69.09431880860453</v>
      </c>
      <c r="U162" s="36">
        <f t="shared" si="67"/>
        <v>79.65039529325244</v>
      </c>
      <c r="V162" s="36"/>
      <c r="W162" s="36">
        <f t="shared" si="68"/>
        <v>79.5352380952381</v>
      </c>
      <c r="X162" s="36"/>
      <c r="Y162" s="47">
        <v>160</v>
      </c>
      <c r="Z162" s="46">
        <f>IF(AND(Y162&gt;M162,Y162&lt;=U162,Y162&lt;=W162),_XLL.SPLINE(M162:U162,C162:K162,Y162),0)</f>
        <v>0</v>
      </c>
      <c r="AA162" s="34">
        <f t="shared" si="47"/>
        <v>0</v>
      </c>
      <c r="AB162" s="35">
        <f t="shared" si="69"/>
        <v>6.035238095238096</v>
      </c>
    </row>
    <row r="163" spans="2:28" s="35" customFormat="1" ht="12.75">
      <c r="B163" s="44" t="str">
        <f t="shared" si="48"/>
        <v>Peso</v>
      </c>
      <c r="C163" s="35">
        <f t="shared" si="49"/>
        <v>0</v>
      </c>
      <c r="D163" s="35">
        <f t="shared" si="50"/>
        <v>3.78</v>
      </c>
      <c r="E163" s="35">
        <f t="shared" si="51"/>
        <v>6.91</v>
      </c>
      <c r="F163" s="35">
        <f t="shared" si="52"/>
        <v>10.03</v>
      </c>
      <c r="G163" s="35">
        <f t="shared" si="53"/>
        <v>13.16</v>
      </c>
      <c r="H163" s="35">
        <f t="shared" si="54"/>
        <v>15.17</v>
      </c>
      <c r="I163" s="35">
        <f t="shared" si="55"/>
        <v>17.18</v>
      </c>
      <c r="J163" s="35">
        <f t="shared" si="56"/>
        <v>19.2</v>
      </c>
      <c r="K163" s="32">
        <f t="shared" si="57"/>
        <v>23</v>
      </c>
      <c r="L163" s="44" t="str">
        <f t="shared" si="58"/>
        <v>Carico</v>
      </c>
      <c r="M163" s="35">
        <f t="shared" si="59"/>
        <v>1.34350064350064</v>
      </c>
      <c r="N163" s="35">
        <f t="shared" si="60"/>
        <v>7.101360544217691</v>
      </c>
      <c r="O163" s="35">
        <f t="shared" si="61"/>
        <v>16.12200772200772</v>
      </c>
      <c r="P163" s="35">
        <f t="shared" si="62"/>
        <v>29.46104982533554</v>
      </c>
      <c r="Q163" s="35">
        <f t="shared" si="63"/>
        <v>45.295164552307426</v>
      </c>
      <c r="R163" s="35">
        <f t="shared" si="64"/>
        <v>54.219847398418835</v>
      </c>
      <c r="S163" s="35">
        <f t="shared" si="65"/>
        <v>62.37681559110132</v>
      </c>
      <c r="T163" s="35">
        <f t="shared" si="66"/>
        <v>69.09431880860453</v>
      </c>
      <c r="U163" s="36">
        <f t="shared" si="67"/>
        <v>79.65039529325244</v>
      </c>
      <c r="V163" s="36"/>
      <c r="W163" s="36">
        <f t="shared" si="68"/>
        <v>79.5352380952381</v>
      </c>
      <c r="X163" s="36"/>
      <c r="Y163" s="47">
        <v>161</v>
      </c>
      <c r="Z163" s="46">
        <f>IF(AND(Y163&gt;M163,Y163&lt;=U163,Y163&lt;=W163),_XLL.SPLINE(M163:U163,C163:K163,Y163),0)</f>
        <v>0</v>
      </c>
      <c r="AA163" s="34">
        <f t="shared" si="47"/>
        <v>0</v>
      </c>
      <c r="AB163" s="35">
        <f t="shared" si="69"/>
        <v>6.035238095238096</v>
      </c>
    </row>
    <row r="164" spans="2:28" s="35" customFormat="1" ht="12.75">
      <c r="B164" s="44" t="str">
        <f t="shared" si="48"/>
        <v>Peso</v>
      </c>
      <c r="C164" s="35">
        <f t="shared" si="49"/>
        <v>0</v>
      </c>
      <c r="D164" s="35">
        <f t="shared" si="50"/>
        <v>3.78</v>
      </c>
      <c r="E164" s="35">
        <f t="shared" si="51"/>
        <v>6.91</v>
      </c>
      <c r="F164" s="35">
        <f t="shared" si="52"/>
        <v>10.03</v>
      </c>
      <c r="G164" s="35">
        <f t="shared" si="53"/>
        <v>13.16</v>
      </c>
      <c r="H164" s="35">
        <f t="shared" si="54"/>
        <v>15.17</v>
      </c>
      <c r="I164" s="35">
        <f t="shared" si="55"/>
        <v>17.18</v>
      </c>
      <c r="J164" s="35">
        <f t="shared" si="56"/>
        <v>19.2</v>
      </c>
      <c r="K164" s="32">
        <f t="shared" si="57"/>
        <v>23</v>
      </c>
      <c r="L164" s="44" t="str">
        <f t="shared" si="58"/>
        <v>Carico</v>
      </c>
      <c r="M164" s="35">
        <f t="shared" si="59"/>
        <v>1.34350064350064</v>
      </c>
      <c r="N164" s="35">
        <f t="shared" si="60"/>
        <v>7.101360544217691</v>
      </c>
      <c r="O164" s="35">
        <f t="shared" si="61"/>
        <v>16.12200772200772</v>
      </c>
      <c r="P164" s="35">
        <f t="shared" si="62"/>
        <v>29.46104982533554</v>
      </c>
      <c r="Q164" s="35">
        <f t="shared" si="63"/>
        <v>45.295164552307426</v>
      </c>
      <c r="R164" s="35">
        <f t="shared" si="64"/>
        <v>54.219847398418835</v>
      </c>
      <c r="S164" s="35">
        <f t="shared" si="65"/>
        <v>62.37681559110132</v>
      </c>
      <c r="T164" s="35">
        <f t="shared" si="66"/>
        <v>69.09431880860453</v>
      </c>
      <c r="U164" s="36">
        <f t="shared" si="67"/>
        <v>79.65039529325244</v>
      </c>
      <c r="V164" s="36"/>
      <c r="W164" s="36">
        <f t="shared" si="68"/>
        <v>79.5352380952381</v>
      </c>
      <c r="X164" s="36"/>
      <c r="Y164" s="47">
        <v>162</v>
      </c>
      <c r="Z164" s="46">
        <f>IF(AND(Y164&gt;M164,Y164&lt;=U164,Y164&lt;=W164),_XLL.SPLINE(M164:U164,C164:K164,Y164),0)</f>
        <v>0</v>
      </c>
      <c r="AA164" s="34">
        <f t="shared" si="47"/>
        <v>0</v>
      </c>
      <c r="AB164" s="35">
        <f t="shared" si="69"/>
        <v>6.035238095238096</v>
      </c>
    </row>
    <row r="165" spans="2:28" s="35" customFormat="1" ht="12.75">
      <c r="B165" s="44" t="str">
        <f t="shared" si="48"/>
        <v>Peso</v>
      </c>
      <c r="C165" s="35">
        <f t="shared" si="49"/>
        <v>0</v>
      </c>
      <c r="D165" s="35">
        <f t="shared" si="50"/>
        <v>3.78</v>
      </c>
      <c r="E165" s="35">
        <f t="shared" si="51"/>
        <v>6.91</v>
      </c>
      <c r="F165" s="35">
        <f t="shared" si="52"/>
        <v>10.03</v>
      </c>
      <c r="G165" s="35">
        <f t="shared" si="53"/>
        <v>13.16</v>
      </c>
      <c r="H165" s="35">
        <f t="shared" si="54"/>
        <v>15.17</v>
      </c>
      <c r="I165" s="35">
        <f t="shared" si="55"/>
        <v>17.18</v>
      </c>
      <c r="J165" s="35">
        <f t="shared" si="56"/>
        <v>19.2</v>
      </c>
      <c r="K165" s="32">
        <f t="shared" si="57"/>
        <v>23</v>
      </c>
      <c r="L165" s="44" t="str">
        <f t="shared" si="58"/>
        <v>Carico</v>
      </c>
      <c r="M165" s="35">
        <f t="shared" si="59"/>
        <v>1.34350064350064</v>
      </c>
      <c r="N165" s="35">
        <f t="shared" si="60"/>
        <v>7.101360544217691</v>
      </c>
      <c r="O165" s="35">
        <f t="shared" si="61"/>
        <v>16.12200772200772</v>
      </c>
      <c r="P165" s="35">
        <f t="shared" si="62"/>
        <v>29.46104982533554</v>
      </c>
      <c r="Q165" s="35">
        <f t="shared" si="63"/>
        <v>45.295164552307426</v>
      </c>
      <c r="R165" s="35">
        <f t="shared" si="64"/>
        <v>54.219847398418835</v>
      </c>
      <c r="S165" s="35">
        <f t="shared" si="65"/>
        <v>62.37681559110132</v>
      </c>
      <c r="T165" s="35">
        <f t="shared" si="66"/>
        <v>69.09431880860453</v>
      </c>
      <c r="U165" s="36">
        <f t="shared" si="67"/>
        <v>79.65039529325244</v>
      </c>
      <c r="V165" s="36"/>
      <c r="W165" s="36">
        <f t="shared" si="68"/>
        <v>79.5352380952381</v>
      </c>
      <c r="X165" s="36"/>
      <c r="Y165" s="47">
        <v>163</v>
      </c>
      <c r="Z165" s="46">
        <f>IF(AND(Y165&gt;M165,Y165&lt;=U165,Y165&lt;=W165),_XLL.SPLINE(M165:U165,C165:K165,Y165),0)</f>
        <v>0</v>
      </c>
      <c r="AA165" s="34">
        <f t="shared" si="47"/>
        <v>0</v>
      </c>
      <c r="AB165" s="35">
        <f t="shared" si="69"/>
        <v>6.035238095238096</v>
      </c>
    </row>
    <row r="166" spans="2:28" s="35" customFormat="1" ht="12.75">
      <c r="B166" s="44" t="str">
        <f t="shared" si="48"/>
        <v>Peso</v>
      </c>
      <c r="C166" s="35">
        <f t="shared" si="49"/>
        <v>0</v>
      </c>
      <c r="D166" s="35">
        <f t="shared" si="50"/>
        <v>3.78</v>
      </c>
      <c r="E166" s="35">
        <f t="shared" si="51"/>
        <v>6.91</v>
      </c>
      <c r="F166" s="35">
        <f t="shared" si="52"/>
        <v>10.03</v>
      </c>
      <c r="G166" s="35">
        <f t="shared" si="53"/>
        <v>13.16</v>
      </c>
      <c r="H166" s="35">
        <f t="shared" si="54"/>
        <v>15.17</v>
      </c>
      <c r="I166" s="35">
        <f t="shared" si="55"/>
        <v>17.18</v>
      </c>
      <c r="J166" s="35">
        <f t="shared" si="56"/>
        <v>19.2</v>
      </c>
      <c r="K166" s="32">
        <f t="shared" si="57"/>
        <v>23</v>
      </c>
      <c r="L166" s="44" t="str">
        <f t="shared" si="58"/>
        <v>Carico</v>
      </c>
      <c r="M166" s="35">
        <f t="shared" si="59"/>
        <v>1.34350064350064</v>
      </c>
      <c r="N166" s="35">
        <f t="shared" si="60"/>
        <v>7.101360544217691</v>
      </c>
      <c r="O166" s="35">
        <f t="shared" si="61"/>
        <v>16.12200772200772</v>
      </c>
      <c r="P166" s="35">
        <f t="shared" si="62"/>
        <v>29.46104982533554</v>
      </c>
      <c r="Q166" s="35">
        <f t="shared" si="63"/>
        <v>45.295164552307426</v>
      </c>
      <c r="R166" s="35">
        <f t="shared" si="64"/>
        <v>54.219847398418835</v>
      </c>
      <c r="S166" s="35">
        <f t="shared" si="65"/>
        <v>62.37681559110132</v>
      </c>
      <c r="T166" s="35">
        <f t="shared" si="66"/>
        <v>69.09431880860453</v>
      </c>
      <c r="U166" s="36">
        <f t="shared" si="67"/>
        <v>79.65039529325244</v>
      </c>
      <c r="V166" s="36"/>
      <c r="W166" s="36">
        <f t="shared" si="68"/>
        <v>79.5352380952381</v>
      </c>
      <c r="X166" s="36"/>
      <c r="Y166" s="47">
        <v>164</v>
      </c>
      <c r="Z166" s="46">
        <f>IF(AND(Y166&gt;M166,Y166&lt;=U166,Y166&lt;=W166),_XLL.SPLINE(M166:U166,C166:K166,Y166),0)</f>
        <v>0</v>
      </c>
      <c r="AA166" s="34">
        <f t="shared" si="47"/>
        <v>0</v>
      </c>
      <c r="AB166" s="35">
        <f t="shared" si="69"/>
        <v>6.035238095238096</v>
      </c>
    </row>
    <row r="167" spans="2:28" s="35" customFormat="1" ht="12.75">
      <c r="B167" s="44" t="str">
        <f t="shared" si="48"/>
        <v>Peso</v>
      </c>
      <c r="C167" s="35">
        <f t="shared" si="49"/>
        <v>0</v>
      </c>
      <c r="D167" s="35">
        <f t="shared" si="50"/>
        <v>3.78</v>
      </c>
      <c r="E167" s="35">
        <f t="shared" si="51"/>
        <v>6.91</v>
      </c>
      <c r="F167" s="35">
        <f t="shared" si="52"/>
        <v>10.03</v>
      </c>
      <c r="G167" s="35">
        <f t="shared" si="53"/>
        <v>13.16</v>
      </c>
      <c r="H167" s="35">
        <f t="shared" si="54"/>
        <v>15.17</v>
      </c>
      <c r="I167" s="35">
        <f t="shared" si="55"/>
        <v>17.18</v>
      </c>
      <c r="J167" s="35">
        <f t="shared" si="56"/>
        <v>19.2</v>
      </c>
      <c r="K167" s="32">
        <f t="shared" si="57"/>
        <v>23</v>
      </c>
      <c r="L167" s="44" t="str">
        <f t="shared" si="58"/>
        <v>Carico</v>
      </c>
      <c r="M167" s="35">
        <f t="shared" si="59"/>
        <v>1.34350064350064</v>
      </c>
      <c r="N167" s="35">
        <f t="shared" si="60"/>
        <v>7.101360544217691</v>
      </c>
      <c r="O167" s="35">
        <f t="shared" si="61"/>
        <v>16.12200772200772</v>
      </c>
      <c r="P167" s="35">
        <f t="shared" si="62"/>
        <v>29.46104982533554</v>
      </c>
      <c r="Q167" s="35">
        <f t="shared" si="63"/>
        <v>45.295164552307426</v>
      </c>
      <c r="R167" s="35">
        <f t="shared" si="64"/>
        <v>54.219847398418835</v>
      </c>
      <c r="S167" s="35">
        <f t="shared" si="65"/>
        <v>62.37681559110132</v>
      </c>
      <c r="T167" s="35">
        <f t="shared" si="66"/>
        <v>69.09431880860453</v>
      </c>
      <c r="U167" s="36">
        <f t="shared" si="67"/>
        <v>79.65039529325244</v>
      </c>
      <c r="V167" s="36"/>
      <c r="W167" s="36">
        <f t="shared" si="68"/>
        <v>79.5352380952381</v>
      </c>
      <c r="X167" s="36"/>
      <c r="Y167" s="47">
        <v>165</v>
      </c>
      <c r="Z167" s="46">
        <f>IF(AND(Y167&gt;M167,Y167&lt;=U167,Y167&lt;=W167),_XLL.SPLINE(M167:U167,C167:K167,Y167),0)</f>
        <v>0</v>
      </c>
      <c r="AA167" s="34">
        <f t="shared" si="47"/>
        <v>0</v>
      </c>
      <c r="AB167" s="35">
        <f t="shared" si="69"/>
        <v>6.035238095238096</v>
      </c>
    </row>
    <row r="168" spans="2:28" s="35" customFormat="1" ht="12.75">
      <c r="B168" s="44" t="str">
        <f t="shared" si="48"/>
        <v>Peso</v>
      </c>
      <c r="C168" s="35">
        <f t="shared" si="49"/>
        <v>0</v>
      </c>
      <c r="D168" s="35">
        <f t="shared" si="50"/>
        <v>3.78</v>
      </c>
      <c r="E168" s="35">
        <f t="shared" si="51"/>
        <v>6.91</v>
      </c>
      <c r="F168" s="35">
        <f t="shared" si="52"/>
        <v>10.03</v>
      </c>
      <c r="G168" s="35">
        <f t="shared" si="53"/>
        <v>13.16</v>
      </c>
      <c r="H168" s="35">
        <f t="shared" si="54"/>
        <v>15.17</v>
      </c>
      <c r="I168" s="35">
        <f t="shared" si="55"/>
        <v>17.18</v>
      </c>
      <c r="J168" s="35">
        <f t="shared" si="56"/>
        <v>19.2</v>
      </c>
      <c r="K168" s="32">
        <f t="shared" si="57"/>
        <v>23</v>
      </c>
      <c r="L168" s="44" t="str">
        <f t="shared" si="58"/>
        <v>Carico</v>
      </c>
      <c r="M168" s="35">
        <f t="shared" si="59"/>
        <v>1.34350064350064</v>
      </c>
      <c r="N168" s="35">
        <f t="shared" si="60"/>
        <v>7.101360544217691</v>
      </c>
      <c r="O168" s="35">
        <f t="shared" si="61"/>
        <v>16.12200772200772</v>
      </c>
      <c r="P168" s="35">
        <f t="shared" si="62"/>
        <v>29.46104982533554</v>
      </c>
      <c r="Q168" s="35">
        <f t="shared" si="63"/>
        <v>45.295164552307426</v>
      </c>
      <c r="R168" s="35">
        <f t="shared" si="64"/>
        <v>54.219847398418835</v>
      </c>
      <c r="S168" s="35">
        <f t="shared" si="65"/>
        <v>62.37681559110132</v>
      </c>
      <c r="T168" s="35">
        <f t="shared" si="66"/>
        <v>69.09431880860453</v>
      </c>
      <c r="U168" s="36">
        <f t="shared" si="67"/>
        <v>79.65039529325244</v>
      </c>
      <c r="V168" s="36"/>
      <c r="W168" s="36">
        <f t="shared" si="68"/>
        <v>79.5352380952381</v>
      </c>
      <c r="X168" s="36"/>
      <c r="Y168" s="47">
        <v>166</v>
      </c>
      <c r="Z168" s="46">
        <f>IF(AND(Y168&gt;M168,Y168&lt;=U168,Y168&lt;=W168),_XLL.SPLINE(M168:U168,C168:K168,Y168),0)</f>
        <v>0</v>
      </c>
      <c r="AA168" s="34">
        <f t="shared" si="47"/>
        <v>0</v>
      </c>
      <c r="AB168" s="35">
        <f t="shared" si="69"/>
        <v>6.035238095238096</v>
      </c>
    </row>
    <row r="169" spans="2:28" s="35" customFormat="1" ht="12.75">
      <c r="B169" s="44" t="str">
        <f t="shared" si="48"/>
        <v>Peso</v>
      </c>
      <c r="C169" s="35">
        <f t="shared" si="49"/>
        <v>0</v>
      </c>
      <c r="D169" s="35">
        <f t="shared" si="50"/>
        <v>3.78</v>
      </c>
      <c r="E169" s="35">
        <f t="shared" si="51"/>
        <v>6.91</v>
      </c>
      <c r="F169" s="35">
        <f t="shared" si="52"/>
        <v>10.03</v>
      </c>
      <c r="G169" s="35">
        <f t="shared" si="53"/>
        <v>13.16</v>
      </c>
      <c r="H169" s="35">
        <f t="shared" si="54"/>
        <v>15.17</v>
      </c>
      <c r="I169" s="35">
        <f t="shared" si="55"/>
        <v>17.18</v>
      </c>
      <c r="J169" s="35">
        <f t="shared" si="56"/>
        <v>19.2</v>
      </c>
      <c r="K169" s="32">
        <f t="shared" si="57"/>
        <v>23</v>
      </c>
      <c r="L169" s="44" t="str">
        <f t="shared" si="58"/>
        <v>Carico</v>
      </c>
      <c r="M169" s="35">
        <f t="shared" si="59"/>
        <v>1.34350064350064</v>
      </c>
      <c r="N169" s="35">
        <f t="shared" si="60"/>
        <v>7.101360544217691</v>
      </c>
      <c r="O169" s="35">
        <f t="shared" si="61"/>
        <v>16.12200772200772</v>
      </c>
      <c r="P169" s="35">
        <f t="shared" si="62"/>
        <v>29.46104982533554</v>
      </c>
      <c r="Q169" s="35">
        <f t="shared" si="63"/>
        <v>45.295164552307426</v>
      </c>
      <c r="R169" s="35">
        <f t="shared" si="64"/>
        <v>54.219847398418835</v>
      </c>
      <c r="S169" s="35">
        <f t="shared" si="65"/>
        <v>62.37681559110132</v>
      </c>
      <c r="T169" s="35">
        <f t="shared" si="66"/>
        <v>69.09431880860453</v>
      </c>
      <c r="U169" s="36">
        <f t="shared" si="67"/>
        <v>79.65039529325244</v>
      </c>
      <c r="V169" s="36"/>
      <c r="W169" s="36">
        <f t="shared" si="68"/>
        <v>79.5352380952381</v>
      </c>
      <c r="X169" s="36"/>
      <c r="Y169" s="47">
        <v>167</v>
      </c>
      <c r="Z169" s="46">
        <f>IF(AND(Y169&gt;M169,Y169&lt;=U169,Y169&lt;=W169),_XLL.SPLINE(M169:U169,C169:K169,Y169),0)</f>
        <v>0</v>
      </c>
      <c r="AA169" s="34">
        <f t="shared" si="47"/>
        <v>0</v>
      </c>
      <c r="AB169" s="35">
        <f t="shared" si="69"/>
        <v>6.035238095238096</v>
      </c>
    </row>
    <row r="170" spans="2:28" s="35" customFormat="1" ht="12.75">
      <c r="B170" s="44" t="str">
        <f t="shared" si="48"/>
        <v>Peso</v>
      </c>
      <c r="C170" s="35">
        <f t="shared" si="49"/>
        <v>0</v>
      </c>
      <c r="D170" s="35">
        <f t="shared" si="50"/>
        <v>3.78</v>
      </c>
      <c r="E170" s="35">
        <f t="shared" si="51"/>
        <v>6.91</v>
      </c>
      <c r="F170" s="35">
        <f t="shared" si="52"/>
        <v>10.03</v>
      </c>
      <c r="G170" s="35">
        <f t="shared" si="53"/>
        <v>13.16</v>
      </c>
      <c r="H170" s="35">
        <f t="shared" si="54"/>
        <v>15.17</v>
      </c>
      <c r="I170" s="35">
        <f t="shared" si="55"/>
        <v>17.18</v>
      </c>
      <c r="J170" s="35">
        <f t="shared" si="56"/>
        <v>19.2</v>
      </c>
      <c r="K170" s="32">
        <f t="shared" si="57"/>
        <v>23</v>
      </c>
      <c r="L170" s="44" t="str">
        <f t="shared" si="58"/>
        <v>Carico</v>
      </c>
      <c r="M170" s="35">
        <f t="shared" si="59"/>
        <v>1.34350064350064</v>
      </c>
      <c r="N170" s="35">
        <f t="shared" si="60"/>
        <v>7.101360544217691</v>
      </c>
      <c r="O170" s="35">
        <f t="shared" si="61"/>
        <v>16.12200772200772</v>
      </c>
      <c r="P170" s="35">
        <f t="shared" si="62"/>
        <v>29.46104982533554</v>
      </c>
      <c r="Q170" s="35">
        <f t="shared" si="63"/>
        <v>45.295164552307426</v>
      </c>
      <c r="R170" s="35">
        <f t="shared" si="64"/>
        <v>54.219847398418835</v>
      </c>
      <c r="S170" s="35">
        <f t="shared" si="65"/>
        <v>62.37681559110132</v>
      </c>
      <c r="T170" s="35">
        <f t="shared" si="66"/>
        <v>69.09431880860453</v>
      </c>
      <c r="U170" s="36">
        <f t="shared" si="67"/>
        <v>79.65039529325244</v>
      </c>
      <c r="V170" s="36"/>
      <c r="W170" s="36">
        <f t="shared" si="68"/>
        <v>79.5352380952381</v>
      </c>
      <c r="X170" s="36"/>
      <c r="Y170" s="47">
        <v>168</v>
      </c>
      <c r="Z170" s="46">
        <f>IF(AND(Y170&gt;M170,Y170&lt;=U170,Y170&lt;=W170),_XLL.SPLINE(M170:U170,C170:K170,Y170),0)</f>
        <v>0</v>
      </c>
      <c r="AA170" s="34">
        <f t="shared" si="47"/>
        <v>0</v>
      </c>
      <c r="AB170" s="35">
        <f t="shared" si="69"/>
        <v>6.035238095238096</v>
      </c>
    </row>
    <row r="171" spans="2:28" s="35" customFormat="1" ht="12.75">
      <c r="B171" s="44" t="str">
        <f t="shared" si="48"/>
        <v>Peso</v>
      </c>
      <c r="C171" s="35">
        <f t="shared" si="49"/>
        <v>0</v>
      </c>
      <c r="D171" s="35">
        <f t="shared" si="50"/>
        <v>3.78</v>
      </c>
      <c r="E171" s="35">
        <f t="shared" si="51"/>
        <v>6.91</v>
      </c>
      <c r="F171" s="35">
        <f t="shared" si="52"/>
        <v>10.03</v>
      </c>
      <c r="G171" s="35">
        <f t="shared" si="53"/>
        <v>13.16</v>
      </c>
      <c r="H171" s="35">
        <f t="shared" si="54"/>
        <v>15.17</v>
      </c>
      <c r="I171" s="35">
        <f t="shared" si="55"/>
        <v>17.18</v>
      </c>
      <c r="J171" s="35">
        <f t="shared" si="56"/>
        <v>19.2</v>
      </c>
      <c r="K171" s="32">
        <f t="shared" si="57"/>
        <v>23</v>
      </c>
      <c r="L171" s="44" t="str">
        <f t="shared" si="58"/>
        <v>Carico</v>
      </c>
      <c r="M171" s="35">
        <f t="shared" si="59"/>
        <v>1.34350064350064</v>
      </c>
      <c r="N171" s="35">
        <f t="shared" si="60"/>
        <v>7.101360544217691</v>
      </c>
      <c r="O171" s="35">
        <f t="shared" si="61"/>
        <v>16.12200772200772</v>
      </c>
      <c r="P171" s="35">
        <f t="shared" si="62"/>
        <v>29.46104982533554</v>
      </c>
      <c r="Q171" s="35">
        <f t="shared" si="63"/>
        <v>45.295164552307426</v>
      </c>
      <c r="R171" s="35">
        <f t="shared" si="64"/>
        <v>54.219847398418835</v>
      </c>
      <c r="S171" s="35">
        <f t="shared" si="65"/>
        <v>62.37681559110132</v>
      </c>
      <c r="T171" s="35">
        <f t="shared" si="66"/>
        <v>69.09431880860453</v>
      </c>
      <c r="U171" s="36">
        <f t="shared" si="67"/>
        <v>79.65039529325244</v>
      </c>
      <c r="V171" s="36"/>
      <c r="W171" s="36">
        <f t="shared" si="68"/>
        <v>79.5352380952381</v>
      </c>
      <c r="X171" s="36"/>
      <c r="Y171" s="47">
        <v>169</v>
      </c>
      <c r="Z171" s="46">
        <f>IF(AND(Y171&gt;M171,Y171&lt;=U171,Y171&lt;=W171),_XLL.SPLINE(M171:U171,C171:K171,Y171),0)</f>
        <v>0</v>
      </c>
      <c r="AA171" s="34">
        <f t="shared" si="47"/>
        <v>0</v>
      </c>
      <c r="AB171" s="35">
        <f t="shared" si="69"/>
        <v>6.035238095238096</v>
      </c>
    </row>
    <row r="172" spans="2:28" s="35" customFormat="1" ht="12.75">
      <c r="B172" s="44" t="str">
        <f t="shared" si="48"/>
        <v>Peso</v>
      </c>
      <c r="C172" s="35">
        <f t="shared" si="49"/>
        <v>0</v>
      </c>
      <c r="D172" s="35">
        <f t="shared" si="50"/>
        <v>3.78</v>
      </c>
      <c r="E172" s="35">
        <f t="shared" si="51"/>
        <v>6.91</v>
      </c>
      <c r="F172" s="35">
        <f t="shared" si="52"/>
        <v>10.03</v>
      </c>
      <c r="G172" s="35">
        <f t="shared" si="53"/>
        <v>13.16</v>
      </c>
      <c r="H172" s="35">
        <f t="shared" si="54"/>
        <v>15.17</v>
      </c>
      <c r="I172" s="35">
        <f t="shared" si="55"/>
        <v>17.18</v>
      </c>
      <c r="J172" s="35">
        <f t="shared" si="56"/>
        <v>19.2</v>
      </c>
      <c r="K172" s="32">
        <f t="shared" si="57"/>
        <v>23</v>
      </c>
      <c r="L172" s="44" t="str">
        <f t="shared" si="58"/>
        <v>Carico</v>
      </c>
      <c r="M172" s="35">
        <f t="shared" si="59"/>
        <v>1.34350064350064</v>
      </c>
      <c r="N172" s="35">
        <f t="shared" si="60"/>
        <v>7.101360544217691</v>
      </c>
      <c r="O172" s="35">
        <f t="shared" si="61"/>
        <v>16.12200772200772</v>
      </c>
      <c r="P172" s="35">
        <f t="shared" si="62"/>
        <v>29.46104982533554</v>
      </c>
      <c r="Q172" s="35">
        <f t="shared" si="63"/>
        <v>45.295164552307426</v>
      </c>
      <c r="R172" s="35">
        <f t="shared" si="64"/>
        <v>54.219847398418835</v>
      </c>
      <c r="S172" s="35">
        <f t="shared" si="65"/>
        <v>62.37681559110132</v>
      </c>
      <c r="T172" s="35">
        <f t="shared" si="66"/>
        <v>69.09431880860453</v>
      </c>
      <c r="U172" s="36">
        <f t="shared" si="67"/>
        <v>79.65039529325244</v>
      </c>
      <c r="V172" s="36"/>
      <c r="W172" s="36">
        <f t="shared" si="68"/>
        <v>79.5352380952381</v>
      </c>
      <c r="X172" s="36"/>
      <c r="Y172" s="47">
        <v>170</v>
      </c>
      <c r="Z172" s="46">
        <f>IF(AND(Y172&gt;M172,Y172&lt;=U172,Y172&lt;=W172),_XLL.SPLINE(M172:U172,C172:K172,Y172),0)</f>
        <v>0</v>
      </c>
      <c r="AA172" s="34">
        <f t="shared" si="47"/>
        <v>0</v>
      </c>
      <c r="AB172" s="35">
        <f t="shared" si="69"/>
        <v>6.035238095238096</v>
      </c>
    </row>
    <row r="173" spans="2:28" s="35" customFormat="1" ht="12.75">
      <c r="B173" s="44" t="str">
        <f t="shared" si="48"/>
        <v>Peso</v>
      </c>
      <c r="C173" s="35">
        <f t="shared" si="49"/>
        <v>0</v>
      </c>
      <c r="D173" s="35">
        <f t="shared" si="50"/>
        <v>3.78</v>
      </c>
      <c r="E173" s="35">
        <f t="shared" si="51"/>
        <v>6.91</v>
      </c>
      <c r="F173" s="35">
        <f t="shared" si="52"/>
        <v>10.03</v>
      </c>
      <c r="G173" s="35">
        <f t="shared" si="53"/>
        <v>13.16</v>
      </c>
      <c r="H173" s="35">
        <f t="shared" si="54"/>
        <v>15.17</v>
      </c>
      <c r="I173" s="35">
        <f t="shared" si="55"/>
        <v>17.18</v>
      </c>
      <c r="J173" s="35">
        <f t="shared" si="56"/>
        <v>19.2</v>
      </c>
      <c r="K173" s="32">
        <f t="shared" si="57"/>
        <v>23</v>
      </c>
      <c r="L173" s="44" t="str">
        <f t="shared" si="58"/>
        <v>Carico</v>
      </c>
      <c r="M173" s="35">
        <f t="shared" si="59"/>
        <v>1.34350064350064</v>
      </c>
      <c r="N173" s="35">
        <f t="shared" si="60"/>
        <v>7.101360544217691</v>
      </c>
      <c r="O173" s="35">
        <f t="shared" si="61"/>
        <v>16.12200772200772</v>
      </c>
      <c r="P173" s="35">
        <f t="shared" si="62"/>
        <v>29.46104982533554</v>
      </c>
      <c r="Q173" s="35">
        <f t="shared" si="63"/>
        <v>45.295164552307426</v>
      </c>
      <c r="R173" s="35">
        <f t="shared" si="64"/>
        <v>54.219847398418835</v>
      </c>
      <c r="S173" s="35">
        <f t="shared" si="65"/>
        <v>62.37681559110132</v>
      </c>
      <c r="T173" s="35">
        <f t="shared" si="66"/>
        <v>69.09431880860453</v>
      </c>
      <c r="U173" s="36">
        <f t="shared" si="67"/>
        <v>79.65039529325244</v>
      </c>
      <c r="V173" s="36"/>
      <c r="W173" s="36">
        <f t="shared" si="68"/>
        <v>79.5352380952381</v>
      </c>
      <c r="X173" s="36"/>
      <c r="Y173" s="47">
        <v>171</v>
      </c>
      <c r="Z173" s="46">
        <f>IF(AND(Y173&gt;M173,Y173&lt;=U173,Y173&lt;=W173),_XLL.SPLINE(M173:U173,C173:K173,Y173),0)</f>
        <v>0</v>
      </c>
      <c r="AA173" s="34">
        <f t="shared" si="47"/>
        <v>0</v>
      </c>
      <c r="AB173" s="35">
        <f t="shared" si="69"/>
        <v>6.035238095238096</v>
      </c>
    </row>
    <row r="174" spans="2:28" s="35" customFormat="1" ht="12.75">
      <c r="B174" s="44" t="str">
        <f t="shared" si="48"/>
        <v>Peso</v>
      </c>
      <c r="C174" s="35">
        <f t="shared" si="49"/>
        <v>0</v>
      </c>
      <c r="D174" s="35">
        <f t="shared" si="50"/>
        <v>3.78</v>
      </c>
      <c r="E174" s="35">
        <f t="shared" si="51"/>
        <v>6.91</v>
      </c>
      <c r="F174" s="35">
        <f t="shared" si="52"/>
        <v>10.03</v>
      </c>
      <c r="G174" s="35">
        <f t="shared" si="53"/>
        <v>13.16</v>
      </c>
      <c r="H174" s="35">
        <f t="shared" si="54"/>
        <v>15.17</v>
      </c>
      <c r="I174" s="35">
        <f t="shared" si="55"/>
        <v>17.18</v>
      </c>
      <c r="J174" s="35">
        <f t="shared" si="56"/>
        <v>19.2</v>
      </c>
      <c r="K174" s="32">
        <f t="shared" si="57"/>
        <v>23</v>
      </c>
      <c r="L174" s="44" t="str">
        <f t="shared" si="58"/>
        <v>Carico</v>
      </c>
      <c r="M174" s="35">
        <f t="shared" si="59"/>
        <v>1.34350064350064</v>
      </c>
      <c r="N174" s="35">
        <f t="shared" si="60"/>
        <v>7.101360544217691</v>
      </c>
      <c r="O174" s="35">
        <f t="shared" si="61"/>
        <v>16.12200772200772</v>
      </c>
      <c r="P174" s="35">
        <f t="shared" si="62"/>
        <v>29.46104982533554</v>
      </c>
      <c r="Q174" s="35">
        <f t="shared" si="63"/>
        <v>45.295164552307426</v>
      </c>
      <c r="R174" s="35">
        <f t="shared" si="64"/>
        <v>54.219847398418835</v>
      </c>
      <c r="S174" s="35">
        <f t="shared" si="65"/>
        <v>62.37681559110132</v>
      </c>
      <c r="T174" s="35">
        <f t="shared" si="66"/>
        <v>69.09431880860453</v>
      </c>
      <c r="U174" s="36">
        <f t="shared" si="67"/>
        <v>79.65039529325244</v>
      </c>
      <c r="V174" s="36"/>
      <c r="W174" s="36">
        <f t="shared" si="68"/>
        <v>79.5352380952381</v>
      </c>
      <c r="X174" s="36"/>
      <c r="Y174" s="47">
        <v>172</v>
      </c>
      <c r="Z174" s="46">
        <f>IF(AND(Y174&gt;M174,Y174&lt;=U174,Y174&lt;=W174),_XLL.SPLINE(M174:U174,C174:K174,Y174),0)</f>
        <v>0</v>
      </c>
      <c r="AA174" s="34">
        <f t="shared" si="47"/>
        <v>0</v>
      </c>
      <c r="AB174" s="35">
        <f t="shared" si="69"/>
        <v>6.035238095238096</v>
      </c>
    </row>
    <row r="175" spans="2:28" s="35" customFormat="1" ht="12.75">
      <c r="B175" s="44" t="str">
        <f t="shared" si="48"/>
        <v>Peso</v>
      </c>
      <c r="C175" s="35">
        <f t="shared" si="49"/>
        <v>0</v>
      </c>
      <c r="D175" s="35">
        <f t="shared" si="50"/>
        <v>3.78</v>
      </c>
      <c r="E175" s="35">
        <f t="shared" si="51"/>
        <v>6.91</v>
      </c>
      <c r="F175" s="35">
        <f t="shared" si="52"/>
        <v>10.03</v>
      </c>
      <c r="G175" s="35">
        <f t="shared" si="53"/>
        <v>13.16</v>
      </c>
      <c r="H175" s="35">
        <f t="shared" si="54"/>
        <v>15.17</v>
      </c>
      <c r="I175" s="35">
        <f t="shared" si="55"/>
        <v>17.18</v>
      </c>
      <c r="J175" s="35">
        <f t="shared" si="56"/>
        <v>19.2</v>
      </c>
      <c r="K175" s="32">
        <f t="shared" si="57"/>
        <v>23</v>
      </c>
      <c r="L175" s="44" t="str">
        <f t="shared" si="58"/>
        <v>Carico</v>
      </c>
      <c r="M175" s="35">
        <f t="shared" si="59"/>
        <v>1.34350064350064</v>
      </c>
      <c r="N175" s="35">
        <f t="shared" si="60"/>
        <v>7.101360544217691</v>
      </c>
      <c r="O175" s="35">
        <f t="shared" si="61"/>
        <v>16.12200772200772</v>
      </c>
      <c r="P175" s="35">
        <f t="shared" si="62"/>
        <v>29.46104982533554</v>
      </c>
      <c r="Q175" s="35">
        <f t="shared" si="63"/>
        <v>45.295164552307426</v>
      </c>
      <c r="R175" s="35">
        <f t="shared" si="64"/>
        <v>54.219847398418835</v>
      </c>
      <c r="S175" s="35">
        <f t="shared" si="65"/>
        <v>62.37681559110132</v>
      </c>
      <c r="T175" s="35">
        <f t="shared" si="66"/>
        <v>69.09431880860453</v>
      </c>
      <c r="U175" s="36">
        <f t="shared" si="67"/>
        <v>79.65039529325244</v>
      </c>
      <c r="V175" s="36"/>
      <c r="W175" s="36">
        <f t="shared" si="68"/>
        <v>79.5352380952381</v>
      </c>
      <c r="X175" s="36"/>
      <c r="Y175" s="47">
        <v>173</v>
      </c>
      <c r="Z175" s="46">
        <f>IF(AND(Y175&gt;M175,Y175&lt;=U175,Y175&lt;=W175),_XLL.SPLINE(M175:U175,C175:K175,Y175),0)</f>
        <v>0</v>
      </c>
      <c r="AA175" s="34">
        <f t="shared" si="47"/>
        <v>0</v>
      </c>
      <c r="AB175" s="35">
        <f t="shared" si="69"/>
        <v>6.035238095238096</v>
      </c>
    </row>
    <row r="176" spans="2:28" s="35" customFormat="1" ht="12.75">
      <c r="B176" s="44" t="str">
        <f t="shared" si="48"/>
        <v>Peso</v>
      </c>
      <c r="C176" s="35">
        <f t="shared" si="49"/>
        <v>0</v>
      </c>
      <c r="D176" s="35">
        <f t="shared" si="50"/>
        <v>3.78</v>
      </c>
      <c r="E176" s="35">
        <f t="shared" si="51"/>
        <v>6.91</v>
      </c>
      <c r="F176" s="35">
        <f t="shared" si="52"/>
        <v>10.03</v>
      </c>
      <c r="G176" s="35">
        <f t="shared" si="53"/>
        <v>13.16</v>
      </c>
      <c r="H176" s="35">
        <f t="shared" si="54"/>
        <v>15.17</v>
      </c>
      <c r="I176" s="35">
        <f t="shared" si="55"/>
        <v>17.18</v>
      </c>
      <c r="J176" s="35">
        <f t="shared" si="56"/>
        <v>19.2</v>
      </c>
      <c r="K176" s="32">
        <f t="shared" si="57"/>
        <v>23</v>
      </c>
      <c r="L176" s="44" t="str">
        <f t="shared" si="58"/>
        <v>Carico</v>
      </c>
      <c r="M176" s="35">
        <f t="shared" si="59"/>
        <v>1.34350064350064</v>
      </c>
      <c r="N176" s="35">
        <f t="shared" si="60"/>
        <v>7.101360544217691</v>
      </c>
      <c r="O176" s="35">
        <f t="shared" si="61"/>
        <v>16.12200772200772</v>
      </c>
      <c r="P176" s="35">
        <f t="shared" si="62"/>
        <v>29.46104982533554</v>
      </c>
      <c r="Q176" s="35">
        <f t="shared" si="63"/>
        <v>45.295164552307426</v>
      </c>
      <c r="R176" s="35">
        <f t="shared" si="64"/>
        <v>54.219847398418835</v>
      </c>
      <c r="S176" s="35">
        <f t="shared" si="65"/>
        <v>62.37681559110132</v>
      </c>
      <c r="T176" s="35">
        <f t="shared" si="66"/>
        <v>69.09431880860453</v>
      </c>
      <c r="U176" s="36">
        <f t="shared" si="67"/>
        <v>79.65039529325244</v>
      </c>
      <c r="V176" s="36"/>
      <c r="W176" s="36">
        <f t="shared" si="68"/>
        <v>79.5352380952381</v>
      </c>
      <c r="X176" s="36"/>
      <c r="Y176" s="47">
        <v>174</v>
      </c>
      <c r="Z176" s="46">
        <f>IF(AND(Y176&gt;M176,Y176&lt;=U176,Y176&lt;=W176),_XLL.SPLINE(M176:U176,C176:K176,Y176),0)</f>
        <v>0</v>
      </c>
      <c r="AA176" s="34">
        <f t="shared" si="47"/>
        <v>0</v>
      </c>
      <c r="AB176" s="35">
        <f t="shared" si="69"/>
        <v>6.035238095238096</v>
      </c>
    </row>
    <row r="177" spans="2:28" s="35" customFormat="1" ht="12.75">
      <c r="B177" s="44" t="str">
        <f t="shared" si="48"/>
        <v>Peso</v>
      </c>
      <c r="C177" s="35">
        <f t="shared" si="49"/>
        <v>0</v>
      </c>
      <c r="D177" s="35">
        <f t="shared" si="50"/>
        <v>3.78</v>
      </c>
      <c r="E177" s="35">
        <f t="shared" si="51"/>
        <v>6.91</v>
      </c>
      <c r="F177" s="35">
        <f t="shared" si="52"/>
        <v>10.03</v>
      </c>
      <c r="G177" s="35">
        <f t="shared" si="53"/>
        <v>13.16</v>
      </c>
      <c r="H177" s="35">
        <f t="shared" si="54"/>
        <v>15.17</v>
      </c>
      <c r="I177" s="35">
        <f t="shared" si="55"/>
        <v>17.18</v>
      </c>
      <c r="J177" s="35">
        <f t="shared" si="56"/>
        <v>19.2</v>
      </c>
      <c r="K177" s="32">
        <f t="shared" si="57"/>
        <v>23</v>
      </c>
      <c r="L177" s="44" t="str">
        <f t="shared" si="58"/>
        <v>Carico</v>
      </c>
      <c r="M177" s="35">
        <f t="shared" si="59"/>
        <v>1.34350064350064</v>
      </c>
      <c r="N177" s="35">
        <f t="shared" si="60"/>
        <v>7.101360544217691</v>
      </c>
      <c r="O177" s="35">
        <f t="shared" si="61"/>
        <v>16.12200772200772</v>
      </c>
      <c r="P177" s="35">
        <f t="shared" si="62"/>
        <v>29.46104982533554</v>
      </c>
      <c r="Q177" s="35">
        <f t="shared" si="63"/>
        <v>45.295164552307426</v>
      </c>
      <c r="R177" s="35">
        <f t="shared" si="64"/>
        <v>54.219847398418835</v>
      </c>
      <c r="S177" s="35">
        <f t="shared" si="65"/>
        <v>62.37681559110132</v>
      </c>
      <c r="T177" s="35">
        <f t="shared" si="66"/>
        <v>69.09431880860453</v>
      </c>
      <c r="U177" s="36">
        <f t="shared" si="67"/>
        <v>79.65039529325244</v>
      </c>
      <c r="V177" s="36"/>
      <c r="W177" s="36">
        <f t="shared" si="68"/>
        <v>79.5352380952381</v>
      </c>
      <c r="X177" s="36"/>
      <c r="Y177" s="47">
        <v>175</v>
      </c>
      <c r="Z177" s="46">
        <f>IF(AND(Y177&gt;M177,Y177&lt;=U177,Y177&lt;=W177),_XLL.SPLINE(M177:U177,C177:K177,Y177),0)</f>
        <v>0</v>
      </c>
      <c r="AA177" s="34">
        <f t="shared" si="47"/>
        <v>0</v>
      </c>
      <c r="AB177" s="35">
        <f t="shared" si="69"/>
        <v>6.035238095238096</v>
      </c>
    </row>
    <row r="178" spans="2:28" s="35" customFormat="1" ht="12.75">
      <c r="B178" s="44" t="str">
        <f t="shared" si="48"/>
        <v>Peso</v>
      </c>
      <c r="C178" s="35">
        <f t="shared" si="49"/>
        <v>0</v>
      </c>
      <c r="D178" s="35">
        <f t="shared" si="50"/>
        <v>3.78</v>
      </c>
      <c r="E178" s="35">
        <f t="shared" si="51"/>
        <v>6.91</v>
      </c>
      <c r="F178" s="35">
        <f t="shared" si="52"/>
        <v>10.03</v>
      </c>
      <c r="G178" s="35">
        <f t="shared" si="53"/>
        <v>13.16</v>
      </c>
      <c r="H178" s="35">
        <f t="shared" si="54"/>
        <v>15.17</v>
      </c>
      <c r="I178" s="35">
        <f t="shared" si="55"/>
        <v>17.18</v>
      </c>
      <c r="J178" s="35">
        <f t="shared" si="56"/>
        <v>19.2</v>
      </c>
      <c r="K178" s="32">
        <f t="shared" si="57"/>
        <v>23</v>
      </c>
      <c r="L178" s="44" t="str">
        <f t="shared" si="58"/>
        <v>Carico</v>
      </c>
      <c r="M178" s="35">
        <f t="shared" si="59"/>
        <v>1.34350064350064</v>
      </c>
      <c r="N178" s="35">
        <f t="shared" si="60"/>
        <v>7.101360544217691</v>
      </c>
      <c r="O178" s="35">
        <f t="shared" si="61"/>
        <v>16.12200772200772</v>
      </c>
      <c r="P178" s="35">
        <f t="shared" si="62"/>
        <v>29.46104982533554</v>
      </c>
      <c r="Q178" s="35">
        <f t="shared" si="63"/>
        <v>45.295164552307426</v>
      </c>
      <c r="R178" s="35">
        <f t="shared" si="64"/>
        <v>54.219847398418835</v>
      </c>
      <c r="S178" s="35">
        <f t="shared" si="65"/>
        <v>62.37681559110132</v>
      </c>
      <c r="T178" s="35">
        <f t="shared" si="66"/>
        <v>69.09431880860453</v>
      </c>
      <c r="U178" s="36">
        <f t="shared" si="67"/>
        <v>79.65039529325244</v>
      </c>
      <c r="V178" s="36"/>
      <c r="W178" s="36">
        <f t="shared" si="68"/>
        <v>79.5352380952381</v>
      </c>
      <c r="X178" s="36"/>
      <c r="Y178" s="47">
        <v>176</v>
      </c>
      <c r="Z178" s="46">
        <f>IF(AND(Y178&gt;M178,Y178&lt;=U178,Y178&lt;=W178),_XLL.SPLINE(M178:U178,C178:K178,Y178),0)</f>
        <v>0</v>
      </c>
      <c r="AA178" s="34">
        <f t="shared" si="47"/>
        <v>0</v>
      </c>
      <c r="AB178" s="35">
        <f t="shared" si="69"/>
        <v>6.035238095238096</v>
      </c>
    </row>
    <row r="179" spans="2:28" s="35" customFormat="1" ht="12.75">
      <c r="B179" s="44" t="str">
        <f t="shared" si="48"/>
        <v>Peso</v>
      </c>
      <c r="C179" s="35">
        <f t="shared" si="49"/>
        <v>0</v>
      </c>
      <c r="D179" s="35">
        <f t="shared" si="50"/>
        <v>3.78</v>
      </c>
      <c r="E179" s="35">
        <f t="shared" si="51"/>
        <v>6.91</v>
      </c>
      <c r="F179" s="35">
        <f t="shared" si="52"/>
        <v>10.03</v>
      </c>
      <c r="G179" s="35">
        <f t="shared" si="53"/>
        <v>13.16</v>
      </c>
      <c r="H179" s="35">
        <f t="shared" si="54"/>
        <v>15.17</v>
      </c>
      <c r="I179" s="35">
        <f t="shared" si="55"/>
        <v>17.18</v>
      </c>
      <c r="J179" s="35">
        <f t="shared" si="56"/>
        <v>19.2</v>
      </c>
      <c r="K179" s="32">
        <f t="shared" si="57"/>
        <v>23</v>
      </c>
      <c r="L179" s="44" t="str">
        <f t="shared" si="58"/>
        <v>Carico</v>
      </c>
      <c r="M179" s="35">
        <f t="shared" si="59"/>
        <v>1.34350064350064</v>
      </c>
      <c r="N179" s="35">
        <f t="shared" si="60"/>
        <v>7.101360544217691</v>
      </c>
      <c r="O179" s="35">
        <f t="shared" si="61"/>
        <v>16.12200772200772</v>
      </c>
      <c r="P179" s="35">
        <f t="shared" si="62"/>
        <v>29.46104982533554</v>
      </c>
      <c r="Q179" s="35">
        <f t="shared" si="63"/>
        <v>45.295164552307426</v>
      </c>
      <c r="R179" s="35">
        <f t="shared" si="64"/>
        <v>54.219847398418835</v>
      </c>
      <c r="S179" s="35">
        <f t="shared" si="65"/>
        <v>62.37681559110132</v>
      </c>
      <c r="T179" s="35">
        <f t="shared" si="66"/>
        <v>69.09431880860453</v>
      </c>
      <c r="U179" s="36">
        <f t="shared" si="67"/>
        <v>79.65039529325244</v>
      </c>
      <c r="V179" s="36"/>
      <c r="W179" s="36">
        <f t="shared" si="68"/>
        <v>79.5352380952381</v>
      </c>
      <c r="X179" s="36"/>
      <c r="Y179" s="47">
        <v>177</v>
      </c>
      <c r="Z179" s="46">
        <f>IF(AND(Y179&gt;M179,Y179&lt;=U179,Y179&lt;=W179),_XLL.SPLINE(M179:U179,C179:K179,Y179),0)</f>
        <v>0</v>
      </c>
      <c r="AA179" s="34">
        <f t="shared" si="47"/>
        <v>0</v>
      </c>
      <c r="AB179" s="35">
        <f t="shared" si="69"/>
        <v>6.035238095238096</v>
      </c>
    </row>
    <row r="180" spans="2:28" s="35" customFormat="1" ht="12.75">
      <c r="B180" s="44" t="str">
        <f t="shared" si="48"/>
        <v>Peso</v>
      </c>
      <c r="C180" s="35">
        <f t="shared" si="49"/>
        <v>0</v>
      </c>
      <c r="D180" s="35">
        <f t="shared" si="50"/>
        <v>3.78</v>
      </c>
      <c r="E180" s="35">
        <f t="shared" si="51"/>
        <v>6.91</v>
      </c>
      <c r="F180" s="35">
        <f t="shared" si="52"/>
        <v>10.03</v>
      </c>
      <c r="G180" s="35">
        <f t="shared" si="53"/>
        <v>13.16</v>
      </c>
      <c r="H180" s="35">
        <f t="shared" si="54"/>
        <v>15.17</v>
      </c>
      <c r="I180" s="35">
        <f t="shared" si="55"/>
        <v>17.18</v>
      </c>
      <c r="J180" s="35">
        <f t="shared" si="56"/>
        <v>19.2</v>
      </c>
      <c r="K180" s="32">
        <f t="shared" si="57"/>
        <v>23</v>
      </c>
      <c r="L180" s="44" t="str">
        <f t="shared" si="58"/>
        <v>Carico</v>
      </c>
      <c r="M180" s="35">
        <f t="shared" si="59"/>
        <v>1.34350064350064</v>
      </c>
      <c r="N180" s="35">
        <f t="shared" si="60"/>
        <v>7.101360544217691</v>
      </c>
      <c r="O180" s="35">
        <f t="shared" si="61"/>
        <v>16.12200772200772</v>
      </c>
      <c r="P180" s="35">
        <f t="shared" si="62"/>
        <v>29.46104982533554</v>
      </c>
      <c r="Q180" s="35">
        <f t="shared" si="63"/>
        <v>45.295164552307426</v>
      </c>
      <c r="R180" s="35">
        <f t="shared" si="64"/>
        <v>54.219847398418835</v>
      </c>
      <c r="S180" s="35">
        <f t="shared" si="65"/>
        <v>62.37681559110132</v>
      </c>
      <c r="T180" s="35">
        <f t="shared" si="66"/>
        <v>69.09431880860453</v>
      </c>
      <c r="U180" s="36">
        <f t="shared" si="67"/>
        <v>79.65039529325244</v>
      </c>
      <c r="V180" s="36"/>
      <c r="W180" s="36">
        <f t="shared" si="68"/>
        <v>79.5352380952381</v>
      </c>
      <c r="X180" s="36"/>
      <c r="Y180" s="47">
        <v>178</v>
      </c>
      <c r="Z180" s="46">
        <f>IF(AND(Y180&gt;M180,Y180&lt;=U180,Y180&lt;=W180),_XLL.SPLINE(M180:U180,C180:K180,Y180),0)</f>
        <v>0</v>
      </c>
      <c r="AA180" s="34">
        <f t="shared" si="47"/>
        <v>0</v>
      </c>
      <c r="AB180" s="35">
        <f t="shared" si="69"/>
        <v>6.035238095238096</v>
      </c>
    </row>
    <row r="181" spans="2:28" s="35" customFormat="1" ht="12.75">
      <c r="B181" s="44" t="str">
        <f t="shared" si="48"/>
        <v>Peso</v>
      </c>
      <c r="C181" s="35">
        <f t="shared" si="49"/>
        <v>0</v>
      </c>
      <c r="D181" s="35">
        <f t="shared" si="50"/>
        <v>3.78</v>
      </c>
      <c r="E181" s="35">
        <f t="shared" si="51"/>
        <v>6.91</v>
      </c>
      <c r="F181" s="35">
        <f t="shared" si="52"/>
        <v>10.03</v>
      </c>
      <c r="G181" s="35">
        <f t="shared" si="53"/>
        <v>13.16</v>
      </c>
      <c r="H181" s="35">
        <f t="shared" si="54"/>
        <v>15.17</v>
      </c>
      <c r="I181" s="35">
        <f t="shared" si="55"/>
        <v>17.18</v>
      </c>
      <c r="J181" s="35">
        <f t="shared" si="56"/>
        <v>19.2</v>
      </c>
      <c r="K181" s="32">
        <f t="shared" si="57"/>
        <v>23</v>
      </c>
      <c r="L181" s="44" t="str">
        <f t="shared" si="58"/>
        <v>Carico</v>
      </c>
      <c r="M181" s="35">
        <f t="shared" si="59"/>
        <v>1.34350064350064</v>
      </c>
      <c r="N181" s="35">
        <f t="shared" si="60"/>
        <v>7.101360544217691</v>
      </c>
      <c r="O181" s="35">
        <f t="shared" si="61"/>
        <v>16.12200772200772</v>
      </c>
      <c r="P181" s="35">
        <f t="shared" si="62"/>
        <v>29.46104982533554</v>
      </c>
      <c r="Q181" s="35">
        <f t="shared" si="63"/>
        <v>45.295164552307426</v>
      </c>
      <c r="R181" s="35">
        <f t="shared" si="64"/>
        <v>54.219847398418835</v>
      </c>
      <c r="S181" s="35">
        <f t="shared" si="65"/>
        <v>62.37681559110132</v>
      </c>
      <c r="T181" s="35">
        <f t="shared" si="66"/>
        <v>69.09431880860453</v>
      </c>
      <c r="U181" s="36">
        <f t="shared" si="67"/>
        <v>79.65039529325244</v>
      </c>
      <c r="V181" s="36"/>
      <c r="W181" s="36">
        <f t="shared" si="68"/>
        <v>79.5352380952381</v>
      </c>
      <c r="X181" s="36"/>
      <c r="Y181" s="47">
        <v>179</v>
      </c>
      <c r="Z181" s="46">
        <f>IF(AND(Y181&gt;M181,Y181&lt;=U181,Y181&lt;=W181),_XLL.SPLINE(M181:U181,C181:K181,Y181),0)</f>
        <v>0</v>
      </c>
      <c r="AA181" s="34">
        <f t="shared" si="47"/>
        <v>0</v>
      </c>
      <c r="AB181" s="35">
        <f t="shared" si="69"/>
        <v>6.035238095238096</v>
      </c>
    </row>
    <row r="182" spans="2:28" s="35" customFormat="1" ht="12.75">
      <c r="B182" s="44" t="str">
        <f t="shared" si="48"/>
        <v>Peso</v>
      </c>
      <c r="C182" s="35">
        <f t="shared" si="49"/>
        <v>0</v>
      </c>
      <c r="D182" s="35">
        <f t="shared" si="50"/>
        <v>3.78</v>
      </c>
      <c r="E182" s="35">
        <f t="shared" si="51"/>
        <v>6.91</v>
      </c>
      <c r="F182" s="35">
        <f t="shared" si="52"/>
        <v>10.03</v>
      </c>
      <c r="G182" s="35">
        <f t="shared" si="53"/>
        <v>13.16</v>
      </c>
      <c r="H182" s="35">
        <f t="shared" si="54"/>
        <v>15.17</v>
      </c>
      <c r="I182" s="35">
        <f t="shared" si="55"/>
        <v>17.18</v>
      </c>
      <c r="J182" s="35">
        <f t="shared" si="56"/>
        <v>19.2</v>
      </c>
      <c r="K182" s="32">
        <f t="shared" si="57"/>
        <v>23</v>
      </c>
      <c r="L182" s="44" t="str">
        <f t="shared" si="58"/>
        <v>Carico</v>
      </c>
      <c r="M182" s="35">
        <f t="shared" si="59"/>
        <v>1.34350064350064</v>
      </c>
      <c r="N182" s="35">
        <f t="shared" si="60"/>
        <v>7.101360544217691</v>
      </c>
      <c r="O182" s="35">
        <f t="shared" si="61"/>
        <v>16.12200772200772</v>
      </c>
      <c r="P182" s="35">
        <f t="shared" si="62"/>
        <v>29.46104982533554</v>
      </c>
      <c r="Q182" s="35">
        <f t="shared" si="63"/>
        <v>45.295164552307426</v>
      </c>
      <c r="R182" s="35">
        <f t="shared" si="64"/>
        <v>54.219847398418835</v>
      </c>
      <c r="S182" s="35">
        <f t="shared" si="65"/>
        <v>62.37681559110132</v>
      </c>
      <c r="T182" s="35">
        <f t="shared" si="66"/>
        <v>69.09431880860453</v>
      </c>
      <c r="U182" s="36">
        <f t="shared" si="67"/>
        <v>79.65039529325244</v>
      </c>
      <c r="V182" s="36"/>
      <c r="W182" s="36">
        <f t="shared" si="68"/>
        <v>79.5352380952381</v>
      </c>
      <c r="X182" s="36"/>
      <c r="Y182" s="47">
        <v>180</v>
      </c>
      <c r="Z182" s="46">
        <f>IF(AND(Y182&gt;M182,Y182&lt;=U182,Y182&lt;=W182),_XLL.SPLINE(M182:U182,C182:K182,Y182),0)</f>
        <v>0</v>
      </c>
      <c r="AA182" s="34">
        <f t="shared" si="47"/>
        <v>0</v>
      </c>
      <c r="AB182" s="35">
        <f t="shared" si="69"/>
        <v>6.035238095238096</v>
      </c>
    </row>
    <row r="183" spans="2:28" s="35" customFormat="1" ht="12.75">
      <c r="B183" s="44" t="str">
        <f t="shared" si="48"/>
        <v>Peso</v>
      </c>
      <c r="C183" s="35">
        <f t="shared" si="49"/>
        <v>0</v>
      </c>
      <c r="D183" s="35">
        <f t="shared" si="50"/>
        <v>3.78</v>
      </c>
      <c r="E183" s="35">
        <f t="shared" si="51"/>
        <v>6.91</v>
      </c>
      <c r="F183" s="35">
        <f t="shared" si="52"/>
        <v>10.03</v>
      </c>
      <c r="G183" s="35">
        <f t="shared" si="53"/>
        <v>13.16</v>
      </c>
      <c r="H183" s="35">
        <f t="shared" si="54"/>
        <v>15.17</v>
      </c>
      <c r="I183" s="35">
        <f t="shared" si="55"/>
        <v>17.18</v>
      </c>
      <c r="J183" s="35">
        <f t="shared" si="56"/>
        <v>19.2</v>
      </c>
      <c r="K183" s="32">
        <f t="shared" si="57"/>
        <v>23</v>
      </c>
      <c r="L183" s="44" t="str">
        <f t="shared" si="58"/>
        <v>Carico</v>
      </c>
      <c r="M183" s="35">
        <f t="shared" si="59"/>
        <v>1.34350064350064</v>
      </c>
      <c r="N183" s="35">
        <f t="shared" si="60"/>
        <v>7.101360544217691</v>
      </c>
      <c r="O183" s="35">
        <f t="shared" si="61"/>
        <v>16.12200772200772</v>
      </c>
      <c r="P183" s="35">
        <f t="shared" si="62"/>
        <v>29.46104982533554</v>
      </c>
      <c r="Q183" s="35">
        <f t="shared" si="63"/>
        <v>45.295164552307426</v>
      </c>
      <c r="R183" s="35">
        <f t="shared" si="64"/>
        <v>54.219847398418835</v>
      </c>
      <c r="S183" s="35">
        <f t="shared" si="65"/>
        <v>62.37681559110132</v>
      </c>
      <c r="T183" s="35">
        <f t="shared" si="66"/>
        <v>69.09431880860453</v>
      </c>
      <c r="U183" s="36">
        <f t="shared" si="67"/>
        <v>79.65039529325244</v>
      </c>
      <c r="V183" s="36"/>
      <c r="W183" s="36">
        <f t="shared" si="68"/>
        <v>79.5352380952381</v>
      </c>
      <c r="X183" s="36"/>
      <c r="Y183" s="47">
        <v>181</v>
      </c>
      <c r="Z183" s="46">
        <f>IF(AND(Y183&gt;M183,Y183&lt;=U183,Y183&lt;=W183),_XLL.SPLINE(M183:U183,C183:K183,Y183),0)</f>
        <v>0</v>
      </c>
      <c r="AA183" s="34">
        <f t="shared" si="47"/>
        <v>0</v>
      </c>
      <c r="AB183" s="35">
        <f t="shared" si="69"/>
        <v>6.035238095238096</v>
      </c>
    </row>
    <row r="184" spans="2:28" s="35" customFormat="1" ht="12.75">
      <c r="B184" s="44" t="str">
        <f t="shared" si="48"/>
        <v>Peso</v>
      </c>
      <c r="C184" s="35">
        <f t="shared" si="49"/>
        <v>0</v>
      </c>
      <c r="D184" s="35">
        <f t="shared" si="50"/>
        <v>3.78</v>
      </c>
      <c r="E184" s="35">
        <f t="shared" si="51"/>
        <v>6.91</v>
      </c>
      <c r="F184" s="35">
        <f t="shared" si="52"/>
        <v>10.03</v>
      </c>
      <c r="G184" s="35">
        <f t="shared" si="53"/>
        <v>13.16</v>
      </c>
      <c r="H184" s="35">
        <f t="shared" si="54"/>
        <v>15.17</v>
      </c>
      <c r="I184" s="35">
        <f t="shared" si="55"/>
        <v>17.18</v>
      </c>
      <c r="J184" s="35">
        <f t="shared" si="56"/>
        <v>19.2</v>
      </c>
      <c r="K184" s="32">
        <f t="shared" si="57"/>
        <v>23</v>
      </c>
      <c r="L184" s="44" t="str">
        <f t="shared" si="58"/>
        <v>Carico</v>
      </c>
      <c r="M184" s="35">
        <f t="shared" si="59"/>
        <v>1.34350064350064</v>
      </c>
      <c r="N184" s="35">
        <f t="shared" si="60"/>
        <v>7.101360544217691</v>
      </c>
      <c r="O184" s="35">
        <f t="shared" si="61"/>
        <v>16.12200772200772</v>
      </c>
      <c r="P184" s="35">
        <f t="shared" si="62"/>
        <v>29.46104982533554</v>
      </c>
      <c r="Q184" s="35">
        <f t="shared" si="63"/>
        <v>45.295164552307426</v>
      </c>
      <c r="R184" s="35">
        <f t="shared" si="64"/>
        <v>54.219847398418835</v>
      </c>
      <c r="S184" s="35">
        <f t="shared" si="65"/>
        <v>62.37681559110132</v>
      </c>
      <c r="T184" s="35">
        <f t="shared" si="66"/>
        <v>69.09431880860453</v>
      </c>
      <c r="U184" s="36">
        <f t="shared" si="67"/>
        <v>79.65039529325244</v>
      </c>
      <c r="V184" s="36"/>
      <c r="W184" s="36">
        <f t="shared" si="68"/>
        <v>79.5352380952381</v>
      </c>
      <c r="X184" s="36"/>
      <c r="Y184" s="47">
        <v>182</v>
      </c>
      <c r="Z184" s="46">
        <f>IF(AND(Y184&gt;M184,Y184&lt;=U184,Y184&lt;=W184),_XLL.SPLINE(M184:U184,C184:K184,Y184),0)</f>
        <v>0</v>
      </c>
      <c r="AA184" s="34">
        <f t="shared" si="47"/>
        <v>0</v>
      </c>
      <c r="AB184" s="35">
        <f t="shared" si="69"/>
        <v>6.035238095238096</v>
      </c>
    </row>
    <row r="185" spans="2:28" s="35" customFormat="1" ht="12.75">
      <c r="B185" s="44" t="str">
        <f t="shared" si="48"/>
        <v>Peso</v>
      </c>
      <c r="C185" s="35">
        <f t="shared" si="49"/>
        <v>0</v>
      </c>
      <c r="D185" s="35">
        <f t="shared" si="50"/>
        <v>3.78</v>
      </c>
      <c r="E185" s="35">
        <f t="shared" si="51"/>
        <v>6.91</v>
      </c>
      <c r="F185" s="35">
        <f t="shared" si="52"/>
        <v>10.03</v>
      </c>
      <c r="G185" s="35">
        <f t="shared" si="53"/>
        <v>13.16</v>
      </c>
      <c r="H185" s="35">
        <f t="shared" si="54"/>
        <v>15.17</v>
      </c>
      <c r="I185" s="35">
        <f t="shared" si="55"/>
        <v>17.18</v>
      </c>
      <c r="J185" s="35">
        <f t="shared" si="56"/>
        <v>19.2</v>
      </c>
      <c r="K185" s="32">
        <f t="shared" si="57"/>
        <v>23</v>
      </c>
      <c r="L185" s="44" t="str">
        <f t="shared" si="58"/>
        <v>Carico</v>
      </c>
      <c r="M185" s="35">
        <f t="shared" si="59"/>
        <v>1.34350064350064</v>
      </c>
      <c r="N185" s="35">
        <f t="shared" si="60"/>
        <v>7.101360544217691</v>
      </c>
      <c r="O185" s="35">
        <f t="shared" si="61"/>
        <v>16.12200772200772</v>
      </c>
      <c r="P185" s="35">
        <f t="shared" si="62"/>
        <v>29.46104982533554</v>
      </c>
      <c r="Q185" s="35">
        <f t="shared" si="63"/>
        <v>45.295164552307426</v>
      </c>
      <c r="R185" s="35">
        <f t="shared" si="64"/>
        <v>54.219847398418835</v>
      </c>
      <c r="S185" s="35">
        <f t="shared" si="65"/>
        <v>62.37681559110132</v>
      </c>
      <c r="T185" s="35">
        <f t="shared" si="66"/>
        <v>69.09431880860453</v>
      </c>
      <c r="U185" s="36">
        <f t="shared" si="67"/>
        <v>79.65039529325244</v>
      </c>
      <c r="V185" s="36"/>
      <c r="W185" s="36">
        <f t="shared" si="68"/>
        <v>79.5352380952381</v>
      </c>
      <c r="X185" s="36"/>
      <c r="Y185" s="47">
        <v>183</v>
      </c>
      <c r="Z185" s="46">
        <f>IF(AND(Y185&gt;M185,Y185&lt;=U185,Y185&lt;=W185),_XLL.SPLINE(M185:U185,C185:K185,Y185),0)</f>
        <v>0</v>
      </c>
      <c r="AA185" s="34">
        <f t="shared" si="47"/>
        <v>0</v>
      </c>
      <c r="AB185" s="35">
        <f t="shared" si="69"/>
        <v>6.035238095238096</v>
      </c>
    </row>
    <row r="186" spans="2:28" s="35" customFormat="1" ht="12.75">
      <c r="B186" s="44" t="str">
        <f t="shared" si="48"/>
        <v>Peso</v>
      </c>
      <c r="C186" s="35">
        <f t="shared" si="49"/>
        <v>0</v>
      </c>
      <c r="D186" s="35">
        <f t="shared" si="50"/>
        <v>3.78</v>
      </c>
      <c r="E186" s="35">
        <f t="shared" si="51"/>
        <v>6.91</v>
      </c>
      <c r="F186" s="35">
        <f t="shared" si="52"/>
        <v>10.03</v>
      </c>
      <c r="G186" s="35">
        <f t="shared" si="53"/>
        <v>13.16</v>
      </c>
      <c r="H186" s="35">
        <f t="shared" si="54"/>
        <v>15.17</v>
      </c>
      <c r="I186" s="35">
        <f t="shared" si="55"/>
        <v>17.18</v>
      </c>
      <c r="J186" s="35">
        <f t="shared" si="56"/>
        <v>19.2</v>
      </c>
      <c r="K186" s="32">
        <f t="shared" si="57"/>
        <v>23</v>
      </c>
      <c r="L186" s="44" t="str">
        <f t="shared" si="58"/>
        <v>Carico</v>
      </c>
      <c r="M186" s="35">
        <f t="shared" si="59"/>
        <v>1.34350064350064</v>
      </c>
      <c r="N186" s="35">
        <f t="shared" si="60"/>
        <v>7.101360544217691</v>
      </c>
      <c r="O186" s="35">
        <f t="shared" si="61"/>
        <v>16.12200772200772</v>
      </c>
      <c r="P186" s="35">
        <f t="shared" si="62"/>
        <v>29.46104982533554</v>
      </c>
      <c r="Q186" s="35">
        <f t="shared" si="63"/>
        <v>45.295164552307426</v>
      </c>
      <c r="R186" s="35">
        <f t="shared" si="64"/>
        <v>54.219847398418835</v>
      </c>
      <c r="S186" s="35">
        <f t="shared" si="65"/>
        <v>62.37681559110132</v>
      </c>
      <c r="T186" s="35">
        <f t="shared" si="66"/>
        <v>69.09431880860453</v>
      </c>
      <c r="U186" s="36">
        <f t="shared" si="67"/>
        <v>79.65039529325244</v>
      </c>
      <c r="V186" s="36"/>
      <c r="W186" s="36">
        <f t="shared" si="68"/>
        <v>79.5352380952381</v>
      </c>
      <c r="X186" s="36"/>
      <c r="Y186" s="47">
        <v>184</v>
      </c>
      <c r="Z186" s="46">
        <f>IF(AND(Y186&gt;M186,Y186&lt;=U186,Y186&lt;=W186),_XLL.SPLINE(M186:U186,C186:K186,Y186),0)</f>
        <v>0</v>
      </c>
      <c r="AA186" s="34">
        <f t="shared" si="47"/>
        <v>0</v>
      </c>
      <c r="AB186" s="35">
        <f t="shared" si="69"/>
        <v>6.035238095238096</v>
      </c>
    </row>
    <row r="187" spans="2:28" s="35" customFormat="1" ht="12.75">
      <c r="B187" s="44" t="str">
        <f t="shared" si="48"/>
        <v>Peso</v>
      </c>
      <c r="C187" s="35">
        <f t="shared" si="49"/>
        <v>0</v>
      </c>
      <c r="D187" s="35">
        <f t="shared" si="50"/>
        <v>3.78</v>
      </c>
      <c r="E187" s="35">
        <f t="shared" si="51"/>
        <v>6.91</v>
      </c>
      <c r="F187" s="35">
        <f t="shared" si="52"/>
        <v>10.03</v>
      </c>
      <c r="G187" s="35">
        <f t="shared" si="53"/>
        <v>13.16</v>
      </c>
      <c r="H187" s="35">
        <f t="shared" si="54"/>
        <v>15.17</v>
      </c>
      <c r="I187" s="35">
        <f t="shared" si="55"/>
        <v>17.18</v>
      </c>
      <c r="J187" s="35">
        <f t="shared" si="56"/>
        <v>19.2</v>
      </c>
      <c r="K187" s="32">
        <f t="shared" si="57"/>
        <v>23</v>
      </c>
      <c r="L187" s="44" t="str">
        <f t="shared" si="58"/>
        <v>Carico</v>
      </c>
      <c r="M187" s="35">
        <f t="shared" si="59"/>
        <v>1.34350064350064</v>
      </c>
      <c r="N187" s="35">
        <f t="shared" si="60"/>
        <v>7.101360544217691</v>
      </c>
      <c r="O187" s="35">
        <f t="shared" si="61"/>
        <v>16.12200772200772</v>
      </c>
      <c r="P187" s="35">
        <f t="shared" si="62"/>
        <v>29.46104982533554</v>
      </c>
      <c r="Q187" s="35">
        <f t="shared" si="63"/>
        <v>45.295164552307426</v>
      </c>
      <c r="R187" s="35">
        <f t="shared" si="64"/>
        <v>54.219847398418835</v>
      </c>
      <c r="S187" s="35">
        <f t="shared" si="65"/>
        <v>62.37681559110132</v>
      </c>
      <c r="T187" s="35">
        <f t="shared" si="66"/>
        <v>69.09431880860453</v>
      </c>
      <c r="U187" s="36">
        <f t="shared" si="67"/>
        <v>79.65039529325244</v>
      </c>
      <c r="V187" s="36"/>
      <c r="W187" s="36">
        <f t="shared" si="68"/>
        <v>79.5352380952381</v>
      </c>
      <c r="X187" s="36"/>
      <c r="Y187" s="47">
        <v>185</v>
      </c>
      <c r="Z187" s="46">
        <f>IF(AND(Y187&gt;M187,Y187&lt;=U187,Y187&lt;=W187),_XLL.SPLINE(M187:U187,C187:K187,Y187),0)</f>
        <v>0</v>
      </c>
      <c r="AA187" s="34">
        <f t="shared" si="47"/>
        <v>0</v>
      </c>
      <c r="AB187" s="35">
        <f t="shared" si="69"/>
        <v>6.035238095238096</v>
      </c>
    </row>
    <row r="188" spans="2:28" s="35" customFormat="1" ht="12.75">
      <c r="B188" s="44" t="str">
        <f t="shared" si="48"/>
        <v>Peso</v>
      </c>
      <c r="C188" s="35">
        <f t="shared" si="49"/>
        <v>0</v>
      </c>
      <c r="D188" s="35">
        <f t="shared" si="50"/>
        <v>3.78</v>
      </c>
      <c r="E188" s="35">
        <f t="shared" si="51"/>
        <v>6.91</v>
      </c>
      <c r="F188" s="35">
        <f t="shared" si="52"/>
        <v>10.03</v>
      </c>
      <c r="G188" s="35">
        <f t="shared" si="53"/>
        <v>13.16</v>
      </c>
      <c r="H188" s="35">
        <f t="shared" si="54"/>
        <v>15.17</v>
      </c>
      <c r="I188" s="35">
        <f t="shared" si="55"/>
        <v>17.18</v>
      </c>
      <c r="J188" s="35">
        <f t="shared" si="56"/>
        <v>19.2</v>
      </c>
      <c r="K188" s="32">
        <f t="shared" si="57"/>
        <v>23</v>
      </c>
      <c r="L188" s="44" t="str">
        <f t="shared" si="58"/>
        <v>Carico</v>
      </c>
      <c r="M188" s="35">
        <f t="shared" si="59"/>
        <v>1.34350064350064</v>
      </c>
      <c r="N188" s="35">
        <f t="shared" si="60"/>
        <v>7.101360544217691</v>
      </c>
      <c r="O188" s="35">
        <f t="shared" si="61"/>
        <v>16.12200772200772</v>
      </c>
      <c r="P188" s="35">
        <f t="shared" si="62"/>
        <v>29.46104982533554</v>
      </c>
      <c r="Q188" s="35">
        <f t="shared" si="63"/>
        <v>45.295164552307426</v>
      </c>
      <c r="R188" s="35">
        <f t="shared" si="64"/>
        <v>54.219847398418835</v>
      </c>
      <c r="S188" s="35">
        <f t="shared" si="65"/>
        <v>62.37681559110132</v>
      </c>
      <c r="T188" s="35">
        <f t="shared" si="66"/>
        <v>69.09431880860453</v>
      </c>
      <c r="U188" s="36">
        <f t="shared" si="67"/>
        <v>79.65039529325244</v>
      </c>
      <c r="V188" s="36"/>
      <c r="W188" s="36">
        <f t="shared" si="68"/>
        <v>79.5352380952381</v>
      </c>
      <c r="X188" s="36"/>
      <c r="Y188" s="47">
        <v>186</v>
      </c>
      <c r="Z188" s="46">
        <f>IF(AND(Y188&gt;M188,Y188&lt;=U188,Y188&lt;=W188),_XLL.SPLINE(M188:U188,C188:K188,Y188),0)</f>
        <v>0</v>
      </c>
      <c r="AA188" s="34">
        <f t="shared" si="47"/>
        <v>0</v>
      </c>
      <c r="AB188" s="35">
        <f t="shared" si="69"/>
        <v>6.035238095238096</v>
      </c>
    </row>
    <row r="189" spans="2:28" s="35" customFormat="1" ht="12.75">
      <c r="B189" s="44" t="str">
        <f t="shared" si="48"/>
        <v>Peso</v>
      </c>
      <c r="C189" s="35">
        <f t="shared" si="49"/>
        <v>0</v>
      </c>
      <c r="D189" s="35">
        <f t="shared" si="50"/>
        <v>3.78</v>
      </c>
      <c r="E189" s="35">
        <f t="shared" si="51"/>
        <v>6.91</v>
      </c>
      <c r="F189" s="35">
        <f t="shared" si="52"/>
        <v>10.03</v>
      </c>
      <c r="G189" s="35">
        <f t="shared" si="53"/>
        <v>13.16</v>
      </c>
      <c r="H189" s="35">
        <f t="shared" si="54"/>
        <v>15.17</v>
      </c>
      <c r="I189" s="35">
        <f t="shared" si="55"/>
        <v>17.18</v>
      </c>
      <c r="J189" s="35">
        <f t="shared" si="56"/>
        <v>19.2</v>
      </c>
      <c r="K189" s="32">
        <f t="shared" si="57"/>
        <v>23</v>
      </c>
      <c r="L189" s="44" t="str">
        <f t="shared" si="58"/>
        <v>Carico</v>
      </c>
      <c r="M189" s="35">
        <f t="shared" si="59"/>
        <v>1.34350064350064</v>
      </c>
      <c r="N189" s="35">
        <f t="shared" si="60"/>
        <v>7.101360544217691</v>
      </c>
      <c r="O189" s="35">
        <f t="shared" si="61"/>
        <v>16.12200772200772</v>
      </c>
      <c r="P189" s="35">
        <f t="shared" si="62"/>
        <v>29.46104982533554</v>
      </c>
      <c r="Q189" s="35">
        <f t="shared" si="63"/>
        <v>45.295164552307426</v>
      </c>
      <c r="R189" s="35">
        <f t="shared" si="64"/>
        <v>54.219847398418835</v>
      </c>
      <c r="S189" s="35">
        <f t="shared" si="65"/>
        <v>62.37681559110132</v>
      </c>
      <c r="T189" s="35">
        <f t="shared" si="66"/>
        <v>69.09431880860453</v>
      </c>
      <c r="U189" s="36">
        <f t="shared" si="67"/>
        <v>79.65039529325244</v>
      </c>
      <c r="V189" s="36"/>
      <c r="W189" s="36">
        <f t="shared" si="68"/>
        <v>79.5352380952381</v>
      </c>
      <c r="X189" s="36"/>
      <c r="Y189" s="47">
        <v>187</v>
      </c>
      <c r="Z189" s="46">
        <f>IF(AND(Y189&gt;M189,Y189&lt;=U189,Y189&lt;=W189),_XLL.SPLINE(M189:U189,C189:K189,Y189),0)</f>
        <v>0</v>
      </c>
      <c r="AA189" s="34">
        <f t="shared" si="47"/>
        <v>0</v>
      </c>
      <c r="AB189" s="35">
        <f t="shared" si="69"/>
        <v>6.035238095238096</v>
      </c>
    </row>
    <row r="190" spans="2:28" s="35" customFormat="1" ht="12.75">
      <c r="B190" s="44" t="str">
        <f t="shared" si="48"/>
        <v>Peso</v>
      </c>
      <c r="C190" s="35">
        <f t="shared" si="49"/>
        <v>0</v>
      </c>
      <c r="D190" s="35">
        <f t="shared" si="50"/>
        <v>3.78</v>
      </c>
      <c r="E190" s="35">
        <f t="shared" si="51"/>
        <v>6.91</v>
      </c>
      <c r="F190" s="35">
        <f t="shared" si="52"/>
        <v>10.03</v>
      </c>
      <c r="G190" s="35">
        <f t="shared" si="53"/>
        <v>13.16</v>
      </c>
      <c r="H190" s="35">
        <f t="shared" si="54"/>
        <v>15.17</v>
      </c>
      <c r="I190" s="35">
        <f t="shared" si="55"/>
        <v>17.18</v>
      </c>
      <c r="J190" s="35">
        <f t="shared" si="56"/>
        <v>19.2</v>
      </c>
      <c r="K190" s="32">
        <f t="shared" si="57"/>
        <v>23</v>
      </c>
      <c r="L190" s="44" t="str">
        <f t="shared" si="58"/>
        <v>Carico</v>
      </c>
      <c r="M190" s="35">
        <f t="shared" si="59"/>
        <v>1.34350064350064</v>
      </c>
      <c r="N190" s="35">
        <f t="shared" si="60"/>
        <v>7.101360544217691</v>
      </c>
      <c r="O190" s="35">
        <f t="shared" si="61"/>
        <v>16.12200772200772</v>
      </c>
      <c r="P190" s="35">
        <f t="shared" si="62"/>
        <v>29.46104982533554</v>
      </c>
      <c r="Q190" s="35">
        <f t="shared" si="63"/>
        <v>45.295164552307426</v>
      </c>
      <c r="R190" s="35">
        <f t="shared" si="64"/>
        <v>54.219847398418835</v>
      </c>
      <c r="S190" s="35">
        <f t="shared" si="65"/>
        <v>62.37681559110132</v>
      </c>
      <c r="T190" s="35">
        <f t="shared" si="66"/>
        <v>69.09431880860453</v>
      </c>
      <c r="U190" s="36">
        <f t="shared" si="67"/>
        <v>79.65039529325244</v>
      </c>
      <c r="V190" s="36"/>
      <c r="W190" s="36">
        <f t="shared" si="68"/>
        <v>79.5352380952381</v>
      </c>
      <c r="X190" s="36"/>
      <c r="Y190" s="47">
        <v>188</v>
      </c>
      <c r="Z190" s="46">
        <f>IF(AND(Y190&gt;M190,Y190&lt;=U190,Y190&lt;=W190),_XLL.SPLINE(M190:U190,C190:K190,Y190),0)</f>
        <v>0</v>
      </c>
      <c r="AA190" s="34">
        <f t="shared" si="47"/>
        <v>0</v>
      </c>
      <c r="AB190" s="35">
        <f t="shared" si="69"/>
        <v>6.035238095238096</v>
      </c>
    </row>
    <row r="191" spans="2:28" s="35" customFormat="1" ht="12.75">
      <c r="B191" s="44" t="str">
        <f t="shared" si="48"/>
        <v>Peso</v>
      </c>
      <c r="C191" s="35">
        <f t="shared" si="49"/>
        <v>0</v>
      </c>
      <c r="D191" s="35">
        <f t="shared" si="50"/>
        <v>3.78</v>
      </c>
      <c r="E191" s="35">
        <f t="shared" si="51"/>
        <v>6.91</v>
      </c>
      <c r="F191" s="35">
        <f t="shared" si="52"/>
        <v>10.03</v>
      </c>
      <c r="G191" s="35">
        <f t="shared" si="53"/>
        <v>13.16</v>
      </c>
      <c r="H191" s="35">
        <f t="shared" si="54"/>
        <v>15.17</v>
      </c>
      <c r="I191" s="35">
        <f t="shared" si="55"/>
        <v>17.18</v>
      </c>
      <c r="J191" s="35">
        <f t="shared" si="56"/>
        <v>19.2</v>
      </c>
      <c r="K191" s="32">
        <f t="shared" si="57"/>
        <v>23</v>
      </c>
      <c r="L191" s="44" t="str">
        <f t="shared" si="58"/>
        <v>Carico</v>
      </c>
      <c r="M191" s="35">
        <f t="shared" si="59"/>
        <v>1.34350064350064</v>
      </c>
      <c r="N191" s="35">
        <f t="shared" si="60"/>
        <v>7.101360544217691</v>
      </c>
      <c r="O191" s="35">
        <f t="shared" si="61"/>
        <v>16.12200772200772</v>
      </c>
      <c r="P191" s="35">
        <f t="shared" si="62"/>
        <v>29.46104982533554</v>
      </c>
      <c r="Q191" s="35">
        <f t="shared" si="63"/>
        <v>45.295164552307426</v>
      </c>
      <c r="R191" s="35">
        <f t="shared" si="64"/>
        <v>54.219847398418835</v>
      </c>
      <c r="S191" s="35">
        <f t="shared" si="65"/>
        <v>62.37681559110132</v>
      </c>
      <c r="T191" s="35">
        <f t="shared" si="66"/>
        <v>69.09431880860453</v>
      </c>
      <c r="U191" s="36">
        <f t="shared" si="67"/>
        <v>79.65039529325244</v>
      </c>
      <c r="V191" s="36"/>
      <c r="W191" s="36">
        <f t="shared" si="68"/>
        <v>79.5352380952381</v>
      </c>
      <c r="X191" s="36"/>
      <c r="Y191" s="47">
        <v>189</v>
      </c>
      <c r="Z191" s="46">
        <f>IF(AND(Y191&gt;M191,Y191&lt;=U191,Y191&lt;=W191),_XLL.SPLINE(M191:U191,C191:K191,Y191),0)</f>
        <v>0</v>
      </c>
      <c r="AA191" s="34">
        <f t="shared" si="47"/>
        <v>0</v>
      </c>
      <c r="AB191" s="35">
        <f t="shared" si="69"/>
        <v>6.035238095238096</v>
      </c>
    </row>
    <row r="192" spans="2:28" s="35" customFormat="1" ht="12.75">
      <c r="B192" s="44" t="str">
        <f t="shared" si="48"/>
        <v>Peso</v>
      </c>
      <c r="C192" s="35">
        <f t="shared" si="49"/>
        <v>0</v>
      </c>
      <c r="D192" s="35">
        <f t="shared" si="50"/>
        <v>3.78</v>
      </c>
      <c r="E192" s="35">
        <f t="shared" si="51"/>
        <v>6.91</v>
      </c>
      <c r="F192" s="35">
        <f t="shared" si="52"/>
        <v>10.03</v>
      </c>
      <c r="G192" s="35">
        <f t="shared" si="53"/>
        <v>13.16</v>
      </c>
      <c r="H192" s="35">
        <f t="shared" si="54"/>
        <v>15.17</v>
      </c>
      <c r="I192" s="35">
        <f t="shared" si="55"/>
        <v>17.18</v>
      </c>
      <c r="J192" s="35">
        <f t="shared" si="56"/>
        <v>19.2</v>
      </c>
      <c r="K192" s="32">
        <f t="shared" si="57"/>
        <v>23</v>
      </c>
      <c r="L192" s="44" t="str">
        <f t="shared" si="58"/>
        <v>Carico</v>
      </c>
      <c r="M192" s="35">
        <f t="shared" si="59"/>
        <v>1.34350064350064</v>
      </c>
      <c r="N192" s="35">
        <f t="shared" si="60"/>
        <v>7.101360544217691</v>
      </c>
      <c r="O192" s="35">
        <f t="shared" si="61"/>
        <v>16.12200772200772</v>
      </c>
      <c r="P192" s="35">
        <f t="shared" si="62"/>
        <v>29.46104982533554</v>
      </c>
      <c r="Q192" s="35">
        <f t="shared" si="63"/>
        <v>45.295164552307426</v>
      </c>
      <c r="R192" s="35">
        <f t="shared" si="64"/>
        <v>54.219847398418835</v>
      </c>
      <c r="S192" s="35">
        <f t="shared" si="65"/>
        <v>62.37681559110132</v>
      </c>
      <c r="T192" s="35">
        <f t="shared" si="66"/>
        <v>69.09431880860453</v>
      </c>
      <c r="U192" s="36">
        <f t="shared" si="67"/>
        <v>79.65039529325244</v>
      </c>
      <c r="V192" s="36"/>
      <c r="W192" s="36">
        <f t="shared" si="68"/>
        <v>79.5352380952381</v>
      </c>
      <c r="X192" s="36"/>
      <c r="Y192" s="47">
        <v>190</v>
      </c>
      <c r="Z192" s="46">
        <f>IF(AND(Y192&gt;M192,Y192&lt;=U192,Y192&lt;=W192),_XLL.SPLINE(M192:U192,C192:K192,Y192),0)</f>
        <v>0</v>
      </c>
      <c r="AA192" s="34">
        <f t="shared" si="47"/>
        <v>0</v>
      </c>
      <c r="AB192" s="35">
        <f t="shared" si="69"/>
        <v>6.035238095238096</v>
      </c>
    </row>
    <row r="193" spans="2:28" s="35" customFormat="1" ht="12.75">
      <c r="B193" s="44" t="str">
        <f t="shared" si="48"/>
        <v>Peso</v>
      </c>
      <c r="C193" s="35">
        <f t="shared" si="49"/>
        <v>0</v>
      </c>
      <c r="D193" s="35">
        <f t="shared" si="50"/>
        <v>3.78</v>
      </c>
      <c r="E193" s="35">
        <f t="shared" si="51"/>
        <v>6.91</v>
      </c>
      <c r="F193" s="35">
        <f t="shared" si="52"/>
        <v>10.03</v>
      </c>
      <c r="G193" s="35">
        <f t="shared" si="53"/>
        <v>13.16</v>
      </c>
      <c r="H193" s="35">
        <f t="shared" si="54"/>
        <v>15.17</v>
      </c>
      <c r="I193" s="35">
        <f t="shared" si="55"/>
        <v>17.18</v>
      </c>
      <c r="J193" s="35">
        <f t="shared" si="56"/>
        <v>19.2</v>
      </c>
      <c r="K193" s="32">
        <f t="shared" si="57"/>
        <v>23</v>
      </c>
      <c r="L193" s="44" t="str">
        <f t="shared" si="58"/>
        <v>Carico</v>
      </c>
      <c r="M193" s="35">
        <f t="shared" si="59"/>
        <v>1.34350064350064</v>
      </c>
      <c r="N193" s="35">
        <f t="shared" si="60"/>
        <v>7.101360544217691</v>
      </c>
      <c r="O193" s="35">
        <f t="shared" si="61"/>
        <v>16.12200772200772</v>
      </c>
      <c r="P193" s="35">
        <f t="shared" si="62"/>
        <v>29.46104982533554</v>
      </c>
      <c r="Q193" s="35">
        <f t="shared" si="63"/>
        <v>45.295164552307426</v>
      </c>
      <c r="R193" s="35">
        <f t="shared" si="64"/>
        <v>54.219847398418835</v>
      </c>
      <c r="S193" s="35">
        <f t="shared" si="65"/>
        <v>62.37681559110132</v>
      </c>
      <c r="T193" s="35">
        <f t="shared" si="66"/>
        <v>69.09431880860453</v>
      </c>
      <c r="U193" s="36">
        <f t="shared" si="67"/>
        <v>79.65039529325244</v>
      </c>
      <c r="V193" s="36"/>
      <c r="W193" s="36">
        <f t="shared" si="68"/>
        <v>79.5352380952381</v>
      </c>
      <c r="X193" s="36"/>
      <c r="Y193" s="47">
        <v>191</v>
      </c>
      <c r="Z193" s="46">
        <f>IF(AND(Y193&gt;M193,Y193&lt;=U193,Y193&lt;=W193),_XLL.SPLINE(M193:U193,C193:K193,Y193),0)</f>
        <v>0</v>
      </c>
      <c r="AA193" s="34">
        <f t="shared" si="47"/>
        <v>0</v>
      </c>
      <c r="AB193" s="35">
        <f t="shared" si="69"/>
        <v>6.035238095238096</v>
      </c>
    </row>
    <row r="194" spans="2:28" s="35" customFormat="1" ht="12.75">
      <c r="B194" s="44" t="str">
        <f t="shared" si="48"/>
        <v>Peso</v>
      </c>
      <c r="C194" s="35">
        <f t="shared" si="49"/>
        <v>0</v>
      </c>
      <c r="D194" s="35">
        <f t="shared" si="50"/>
        <v>3.78</v>
      </c>
      <c r="E194" s="35">
        <f t="shared" si="51"/>
        <v>6.91</v>
      </c>
      <c r="F194" s="35">
        <f t="shared" si="52"/>
        <v>10.03</v>
      </c>
      <c r="G194" s="35">
        <f t="shared" si="53"/>
        <v>13.16</v>
      </c>
      <c r="H194" s="35">
        <f t="shared" si="54"/>
        <v>15.17</v>
      </c>
      <c r="I194" s="35">
        <f t="shared" si="55"/>
        <v>17.18</v>
      </c>
      <c r="J194" s="35">
        <f t="shared" si="56"/>
        <v>19.2</v>
      </c>
      <c r="K194" s="32">
        <f t="shared" si="57"/>
        <v>23</v>
      </c>
      <c r="L194" s="44" t="str">
        <f t="shared" si="58"/>
        <v>Carico</v>
      </c>
      <c r="M194" s="35">
        <f t="shared" si="59"/>
        <v>1.34350064350064</v>
      </c>
      <c r="N194" s="35">
        <f t="shared" si="60"/>
        <v>7.101360544217691</v>
      </c>
      <c r="O194" s="35">
        <f t="shared" si="61"/>
        <v>16.12200772200772</v>
      </c>
      <c r="P194" s="35">
        <f t="shared" si="62"/>
        <v>29.46104982533554</v>
      </c>
      <c r="Q194" s="35">
        <f t="shared" si="63"/>
        <v>45.295164552307426</v>
      </c>
      <c r="R194" s="35">
        <f t="shared" si="64"/>
        <v>54.219847398418835</v>
      </c>
      <c r="S194" s="35">
        <f t="shared" si="65"/>
        <v>62.37681559110132</v>
      </c>
      <c r="T194" s="35">
        <f t="shared" si="66"/>
        <v>69.09431880860453</v>
      </c>
      <c r="U194" s="36">
        <f t="shared" si="67"/>
        <v>79.65039529325244</v>
      </c>
      <c r="V194" s="36"/>
      <c r="W194" s="36">
        <f t="shared" si="68"/>
        <v>79.5352380952381</v>
      </c>
      <c r="X194" s="36"/>
      <c r="Y194" s="47">
        <v>192</v>
      </c>
      <c r="Z194" s="46">
        <f>IF(AND(Y194&gt;M194,Y194&lt;=U194,Y194&lt;=W194),_XLL.SPLINE(M194:U194,C194:K194,Y194),0)</f>
        <v>0</v>
      </c>
      <c r="AA194" s="34">
        <f t="shared" si="47"/>
        <v>0</v>
      </c>
      <c r="AB194" s="35">
        <f t="shared" si="69"/>
        <v>6.035238095238096</v>
      </c>
    </row>
    <row r="195" spans="2:28" s="35" customFormat="1" ht="12.75">
      <c r="B195" s="44" t="str">
        <f t="shared" si="48"/>
        <v>Peso</v>
      </c>
      <c r="C195" s="35">
        <f t="shared" si="49"/>
        <v>0</v>
      </c>
      <c r="D195" s="35">
        <f t="shared" si="50"/>
        <v>3.78</v>
      </c>
      <c r="E195" s="35">
        <f t="shared" si="51"/>
        <v>6.91</v>
      </c>
      <c r="F195" s="35">
        <f t="shared" si="52"/>
        <v>10.03</v>
      </c>
      <c r="G195" s="35">
        <f t="shared" si="53"/>
        <v>13.16</v>
      </c>
      <c r="H195" s="35">
        <f t="shared" si="54"/>
        <v>15.17</v>
      </c>
      <c r="I195" s="35">
        <f t="shared" si="55"/>
        <v>17.18</v>
      </c>
      <c r="J195" s="35">
        <f t="shared" si="56"/>
        <v>19.2</v>
      </c>
      <c r="K195" s="32">
        <f t="shared" si="57"/>
        <v>23</v>
      </c>
      <c r="L195" s="44" t="str">
        <f t="shared" si="58"/>
        <v>Carico</v>
      </c>
      <c r="M195" s="35">
        <f t="shared" si="59"/>
        <v>1.34350064350064</v>
      </c>
      <c r="N195" s="35">
        <f t="shared" si="60"/>
        <v>7.101360544217691</v>
      </c>
      <c r="O195" s="35">
        <f t="shared" si="61"/>
        <v>16.12200772200772</v>
      </c>
      <c r="P195" s="35">
        <f t="shared" si="62"/>
        <v>29.46104982533554</v>
      </c>
      <c r="Q195" s="35">
        <f t="shared" si="63"/>
        <v>45.295164552307426</v>
      </c>
      <c r="R195" s="35">
        <f t="shared" si="64"/>
        <v>54.219847398418835</v>
      </c>
      <c r="S195" s="35">
        <f t="shared" si="65"/>
        <v>62.37681559110132</v>
      </c>
      <c r="T195" s="35">
        <f t="shared" si="66"/>
        <v>69.09431880860453</v>
      </c>
      <c r="U195" s="36">
        <f t="shared" si="67"/>
        <v>79.65039529325244</v>
      </c>
      <c r="V195" s="36"/>
      <c r="W195" s="36">
        <f t="shared" si="68"/>
        <v>79.5352380952381</v>
      </c>
      <c r="X195" s="36"/>
      <c r="Y195" s="47">
        <v>193</v>
      </c>
      <c r="Z195" s="46">
        <f>IF(AND(Y195&gt;M195,Y195&lt;=U195,Y195&lt;=W195),_XLL.SPLINE(M195:U195,C195:K195,Y195),0)</f>
        <v>0</v>
      </c>
      <c r="AA195" s="34">
        <f aca="true" t="shared" si="70" ref="AA195:AA202">IF(Y195&lt;AB195,Z195,0)</f>
        <v>0</v>
      </c>
      <c r="AB195" s="35">
        <f t="shared" si="69"/>
        <v>6.035238095238096</v>
      </c>
    </row>
    <row r="196" spans="2:28" s="35" customFormat="1" ht="12.75">
      <c r="B196" s="44" t="str">
        <f aca="true" t="shared" si="71" ref="B196:J202">B195</f>
        <v>Peso</v>
      </c>
      <c r="C196" s="35">
        <f t="shared" si="71"/>
        <v>0</v>
      </c>
      <c r="D196" s="35">
        <f t="shared" si="71"/>
        <v>3.78</v>
      </c>
      <c r="E196" s="35">
        <f t="shared" si="71"/>
        <v>6.91</v>
      </c>
      <c r="F196" s="35">
        <f t="shared" si="71"/>
        <v>10.03</v>
      </c>
      <c r="G196" s="35">
        <f t="shared" si="71"/>
        <v>13.16</v>
      </c>
      <c r="H196" s="35">
        <f t="shared" si="71"/>
        <v>15.17</v>
      </c>
      <c r="I196" s="35">
        <f t="shared" si="71"/>
        <v>17.18</v>
      </c>
      <c r="J196" s="35">
        <f t="shared" si="71"/>
        <v>19.2</v>
      </c>
      <c r="K196" s="32">
        <f aca="true" t="shared" si="72" ref="K196:K202">K195</f>
        <v>23</v>
      </c>
      <c r="L196" s="44" t="str">
        <f aca="true" t="shared" si="73" ref="L196:T202">L195</f>
        <v>Carico</v>
      </c>
      <c r="M196" s="35">
        <f t="shared" si="73"/>
        <v>1.34350064350064</v>
      </c>
      <c r="N196" s="35">
        <f t="shared" si="73"/>
        <v>7.101360544217691</v>
      </c>
      <c r="O196" s="35">
        <f t="shared" si="73"/>
        <v>16.12200772200772</v>
      </c>
      <c r="P196" s="35">
        <f t="shared" si="73"/>
        <v>29.46104982533554</v>
      </c>
      <c r="Q196" s="35">
        <f t="shared" si="73"/>
        <v>45.295164552307426</v>
      </c>
      <c r="R196" s="35">
        <f t="shared" si="73"/>
        <v>54.219847398418835</v>
      </c>
      <c r="S196" s="35">
        <f t="shared" si="73"/>
        <v>62.37681559110132</v>
      </c>
      <c r="T196" s="35">
        <f t="shared" si="73"/>
        <v>69.09431880860453</v>
      </c>
      <c r="U196" s="36">
        <f aca="true" t="shared" si="74" ref="U196:U202">U195</f>
        <v>79.65039529325244</v>
      </c>
      <c r="V196" s="36"/>
      <c r="W196" s="36">
        <f aca="true" t="shared" si="75" ref="W196:W202">W195</f>
        <v>79.5352380952381</v>
      </c>
      <c r="X196" s="36"/>
      <c r="Y196" s="47">
        <v>194</v>
      </c>
      <c r="Z196" s="46">
        <f>IF(AND(Y196&gt;M196,Y196&lt;=U196,Y196&lt;=W196),_XLL.SPLINE(M196:U196,C196:K196,Y196),0)</f>
        <v>0</v>
      </c>
      <c r="AA196" s="34">
        <f t="shared" si="70"/>
        <v>0</v>
      </c>
      <c r="AB196" s="35">
        <f aca="true" t="shared" si="76" ref="AB196:AB202">AB195</f>
        <v>6.035238095238096</v>
      </c>
    </row>
    <row r="197" spans="2:28" s="35" customFormat="1" ht="12.75">
      <c r="B197" s="44" t="str">
        <f t="shared" si="71"/>
        <v>Peso</v>
      </c>
      <c r="C197" s="35">
        <f t="shared" si="71"/>
        <v>0</v>
      </c>
      <c r="D197" s="35">
        <f t="shared" si="71"/>
        <v>3.78</v>
      </c>
      <c r="E197" s="35">
        <f t="shared" si="71"/>
        <v>6.91</v>
      </c>
      <c r="F197" s="35">
        <f t="shared" si="71"/>
        <v>10.03</v>
      </c>
      <c r="G197" s="35">
        <f t="shared" si="71"/>
        <v>13.16</v>
      </c>
      <c r="H197" s="35">
        <f t="shared" si="71"/>
        <v>15.17</v>
      </c>
      <c r="I197" s="35">
        <f t="shared" si="71"/>
        <v>17.18</v>
      </c>
      <c r="J197" s="35">
        <f t="shared" si="71"/>
        <v>19.2</v>
      </c>
      <c r="K197" s="32">
        <f t="shared" si="72"/>
        <v>23</v>
      </c>
      <c r="L197" s="44" t="str">
        <f t="shared" si="73"/>
        <v>Carico</v>
      </c>
      <c r="M197" s="35">
        <f t="shared" si="73"/>
        <v>1.34350064350064</v>
      </c>
      <c r="N197" s="35">
        <f t="shared" si="73"/>
        <v>7.101360544217691</v>
      </c>
      <c r="O197" s="35">
        <f t="shared" si="73"/>
        <v>16.12200772200772</v>
      </c>
      <c r="P197" s="35">
        <f t="shared" si="73"/>
        <v>29.46104982533554</v>
      </c>
      <c r="Q197" s="35">
        <f t="shared" si="73"/>
        <v>45.295164552307426</v>
      </c>
      <c r="R197" s="35">
        <f t="shared" si="73"/>
        <v>54.219847398418835</v>
      </c>
      <c r="S197" s="35">
        <f t="shared" si="73"/>
        <v>62.37681559110132</v>
      </c>
      <c r="T197" s="35">
        <f t="shared" si="73"/>
        <v>69.09431880860453</v>
      </c>
      <c r="U197" s="36">
        <f t="shared" si="74"/>
        <v>79.65039529325244</v>
      </c>
      <c r="V197" s="36"/>
      <c r="W197" s="36">
        <f t="shared" si="75"/>
        <v>79.5352380952381</v>
      </c>
      <c r="X197" s="36"/>
      <c r="Y197" s="47">
        <v>195</v>
      </c>
      <c r="Z197" s="46">
        <f>IF(AND(Y197&gt;M197,Y197&lt;=U197,Y197&lt;=W197),_XLL.SPLINE(M197:U197,C197:K197,Y197),0)</f>
        <v>0</v>
      </c>
      <c r="AA197" s="34">
        <f t="shared" si="70"/>
        <v>0</v>
      </c>
      <c r="AB197" s="35">
        <f t="shared" si="76"/>
        <v>6.035238095238096</v>
      </c>
    </row>
    <row r="198" spans="2:28" s="35" customFormat="1" ht="12.75">
      <c r="B198" s="44" t="str">
        <f t="shared" si="71"/>
        <v>Peso</v>
      </c>
      <c r="C198" s="35">
        <f t="shared" si="71"/>
        <v>0</v>
      </c>
      <c r="D198" s="35">
        <f t="shared" si="71"/>
        <v>3.78</v>
      </c>
      <c r="E198" s="35">
        <f t="shared" si="71"/>
        <v>6.91</v>
      </c>
      <c r="F198" s="35">
        <f t="shared" si="71"/>
        <v>10.03</v>
      </c>
      <c r="G198" s="35">
        <f t="shared" si="71"/>
        <v>13.16</v>
      </c>
      <c r="H198" s="35">
        <f t="shared" si="71"/>
        <v>15.17</v>
      </c>
      <c r="I198" s="35">
        <f t="shared" si="71"/>
        <v>17.18</v>
      </c>
      <c r="J198" s="35">
        <f t="shared" si="71"/>
        <v>19.2</v>
      </c>
      <c r="K198" s="32">
        <f t="shared" si="72"/>
        <v>23</v>
      </c>
      <c r="L198" s="44" t="str">
        <f t="shared" si="73"/>
        <v>Carico</v>
      </c>
      <c r="M198" s="35">
        <f t="shared" si="73"/>
        <v>1.34350064350064</v>
      </c>
      <c r="N198" s="35">
        <f t="shared" si="73"/>
        <v>7.101360544217691</v>
      </c>
      <c r="O198" s="35">
        <f t="shared" si="73"/>
        <v>16.12200772200772</v>
      </c>
      <c r="P198" s="35">
        <f t="shared" si="73"/>
        <v>29.46104982533554</v>
      </c>
      <c r="Q198" s="35">
        <f t="shared" si="73"/>
        <v>45.295164552307426</v>
      </c>
      <c r="R198" s="35">
        <f t="shared" si="73"/>
        <v>54.219847398418835</v>
      </c>
      <c r="S198" s="35">
        <f t="shared" si="73"/>
        <v>62.37681559110132</v>
      </c>
      <c r="T198" s="35">
        <f t="shared" si="73"/>
        <v>69.09431880860453</v>
      </c>
      <c r="U198" s="36">
        <f t="shared" si="74"/>
        <v>79.65039529325244</v>
      </c>
      <c r="V198" s="36"/>
      <c r="W198" s="36">
        <f t="shared" si="75"/>
        <v>79.5352380952381</v>
      </c>
      <c r="X198" s="36"/>
      <c r="Y198" s="47">
        <v>196</v>
      </c>
      <c r="Z198" s="46">
        <f>IF(AND(Y198&gt;M198,Y198&lt;=U198,Y198&lt;=W198),_XLL.SPLINE(M198:U198,C198:K198,Y198),0)</f>
        <v>0</v>
      </c>
      <c r="AA198" s="34">
        <f t="shared" si="70"/>
        <v>0</v>
      </c>
      <c r="AB198" s="35">
        <f t="shared" si="76"/>
        <v>6.035238095238096</v>
      </c>
    </row>
    <row r="199" spans="2:28" s="35" customFormat="1" ht="12.75">
      <c r="B199" s="44" t="str">
        <f t="shared" si="71"/>
        <v>Peso</v>
      </c>
      <c r="C199" s="35">
        <f t="shared" si="71"/>
        <v>0</v>
      </c>
      <c r="D199" s="35">
        <f t="shared" si="71"/>
        <v>3.78</v>
      </c>
      <c r="E199" s="35">
        <f t="shared" si="71"/>
        <v>6.91</v>
      </c>
      <c r="F199" s="35">
        <f t="shared" si="71"/>
        <v>10.03</v>
      </c>
      <c r="G199" s="35">
        <f t="shared" si="71"/>
        <v>13.16</v>
      </c>
      <c r="H199" s="35">
        <f t="shared" si="71"/>
        <v>15.17</v>
      </c>
      <c r="I199" s="35">
        <f t="shared" si="71"/>
        <v>17.18</v>
      </c>
      <c r="J199" s="35">
        <f t="shared" si="71"/>
        <v>19.2</v>
      </c>
      <c r="K199" s="32">
        <f t="shared" si="72"/>
        <v>23</v>
      </c>
      <c r="L199" s="44" t="str">
        <f t="shared" si="73"/>
        <v>Carico</v>
      </c>
      <c r="M199" s="35">
        <f t="shared" si="73"/>
        <v>1.34350064350064</v>
      </c>
      <c r="N199" s="35">
        <f t="shared" si="73"/>
        <v>7.101360544217691</v>
      </c>
      <c r="O199" s="35">
        <f t="shared" si="73"/>
        <v>16.12200772200772</v>
      </c>
      <c r="P199" s="35">
        <f t="shared" si="73"/>
        <v>29.46104982533554</v>
      </c>
      <c r="Q199" s="35">
        <f t="shared" si="73"/>
        <v>45.295164552307426</v>
      </c>
      <c r="R199" s="35">
        <f t="shared" si="73"/>
        <v>54.219847398418835</v>
      </c>
      <c r="S199" s="35">
        <f t="shared" si="73"/>
        <v>62.37681559110132</v>
      </c>
      <c r="T199" s="35">
        <f t="shared" si="73"/>
        <v>69.09431880860453</v>
      </c>
      <c r="U199" s="36">
        <f t="shared" si="74"/>
        <v>79.65039529325244</v>
      </c>
      <c r="V199" s="36"/>
      <c r="W199" s="36">
        <f t="shared" si="75"/>
        <v>79.5352380952381</v>
      </c>
      <c r="X199" s="36"/>
      <c r="Y199" s="47">
        <v>197</v>
      </c>
      <c r="Z199" s="46">
        <f>IF(AND(Y199&gt;M199,Y199&lt;=U199,Y199&lt;=W199),_XLL.SPLINE(M199:U199,C199:K199,Y199),0)</f>
        <v>0</v>
      </c>
      <c r="AA199" s="34">
        <f t="shared" si="70"/>
        <v>0</v>
      </c>
      <c r="AB199" s="35">
        <f t="shared" si="76"/>
        <v>6.035238095238096</v>
      </c>
    </row>
    <row r="200" spans="2:28" s="35" customFormat="1" ht="12.75">
      <c r="B200" s="44" t="str">
        <f t="shared" si="71"/>
        <v>Peso</v>
      </c>
      <c r="C200" s="35">
        <f t="shared" si="71"/>
        <v>0</v>
      </c>
      <c r="D200" s="35">
        <f t="shared" si="71"/>
        <v>3.78</v>
      </c>
      <c r="E200" s="35">
        <f t="shared" si="71"/>
        <v>6.91</v>
      </c>
      <c r="F200" s="35">
        <f t="shared" si="71"/>
        <v>10.03</v>
      </c>
      <c r="G200" s="35">
        <f t="shared" si="71"/>
        <v>13.16</v>
      </c>
      <c r="H200" s="35">
        <f t="shared" si="71"/>
        <v>15.17</v>
      </c>
      <c r="I200" s="35">
        <f t="shared" si="71"/>
        <v>17.18</v>
      </c>
      <c r="J200" s="35">
        <f t="shared" si="71"/>
        <v>19.2</v>
      </c>
      <c r="K200" s="32">
        <f t="shared" si="72"/>
        <v>23</v>
      </c>
      <c r="L200" s="44" t="str">
        <f t="shared" si="73"/>
        <v>Carico</v>
      </c>
      <c r="M200" s="35">
        <f t="shared" si="73"/>
        <v>1.34350064350064</v>
      </c>
      <c r="N200" s="35">
        <f t="shared" si="73"/>
        <v>7.101360544217691</v>
      </c>
      <c r="O200" s="35">
        <f t="shared" si="73"/>
        <v>16.12200772200772</v>
      </c>
      <c r="P200" s="35">
        <f t="shared" si="73"/>
        <v>29.46104982533554</v>
      </c>
      <c r="Q200" s="35">
        <f t="shared" si="73"/>
        <v>45.295164552307426</v>
      </c>
      <c r="R200" s="35">
        <f t="shared" si="73"/>
        <v>54.219847398418835</v>
      </c>
      <c r="S200" s="35">
        <f t="shared" si="73"/>
        <v>62.37681559110132</v>
      </c>
      <c r="T200" s="35">
        <f t="shared" si="73"/>
        <v>69.09431880860453</v>
      </c>
      <c r="U200" s="36">
        <f t="shared" si="74"/>
        <v>79.65039529325244</v>
      </c>
      <c r="V200" s="36"/>
      <c r="W200" s="36">
        <f t="shared" si="75"/>
        <v>79.5352380952381</v>
      </c>
      <c r="X200" s="36"/>
      <c r="Y200" s="47">
        <v>198</v>
      </c>
      <c r="Z200" s="46">
        <f>IF(AND(Y200&gt;M200,Y200&lt;=U200,Y200&lt;=W200),_XLL.SPLINE(M200:U200,C200:K200,Y200),0)</f>
        <v>0</v>
      </c>
      <c r="AA200" s="34">
        <f t="shared" si="70"/>
        <v>0</v>
      </c>
      <c r="AB200" s="35">
        <f t="shared" si="76"/>
        <v>6.035238095238096</v>
      </c>
    </row>
    <row r="201" spans="2:28" s="35" customFormat="1" ht="12.75">
      <c r="B201" s="44" t="str">
        <f t="shared" si="71"/>
        <v>Peso</v>
      </c>
      <c r="C201" s="35">
        <f t="shared" si="71"/>
        <v>0</v>
      </c>
      <c r="D201" s="35">
        <f t="shared" si="71"/>
        <v>3.78</v>
      </c>
      <c r="E201" s="35">
        <f t="shared" si="71"/>
        <v>6.91</v>
      </c>
      <c r="F201" s="35">
        <f t="shared" si="71"/>
        <v>10.03</v>
      </c>
      <c r="G201" s="35">
        <f t="shared" si="71"/>
        <v>13.16</v>
      </c>
      <c r="H201" s="35">
        <f t="shared" si="71"/>
        <v>15.17</v>
      </c>
      <c r="I201" s="35">
        <f t="shared" si="71"/>
        <v>17.18</v>
      </c>
      <c r="J201" s="35">
        <f t="shared" si="71"/>
        <v>19.2</v>
      </c>
      <c r="K201" s="32">
        <f t="shared" si="72"/>
        <v>23</v>
      </c>
      <c r="L201" s="44" t="str">
        <f t="shared" si="73"/>
        <v>Carico</v>
      </c>
      <c r="M201" s="35">
        <f t="shared" si="73"/>
        <v>1.34350064350064</v>
      </c>
      <c r="N201" s="35">
        <f t="shared" si="73"/>
        <v>7.101360544217691</v>
      </c>
      <c r="O201" s="35">
        <f t="shared" si="73"/>
        <v>16.12200772200772</v>
      </c>
      <c r="P201" s="35">
        <f t="shared" si="73"/>
        <v>29.46104982533554</v>
      </c>
      <c r="Q201" s="35">
        <f t="shared" si="73"/>
        <v>45.295164552307426</v>
      </c>
      <c r="R201" s="35">
        <f t="shared" si="73"/>
        <v>54.219847398418835</v>
      </c>
      <c r="S201" s="35">
        <f t="shared" si="73"/>
        <v>62.37681559110132</v>
      </c>
      <c r="T201" s="35">
        <f t="shared" si="73"/>
        <v>69.09431880860453</v>
      </c>
      <c r="U201" s="36">
        <f t="shared" si="74"/>
        <v>79.65039529325244</v>
      </c>
      <c r="V201" s="36"/>
      <c r="W201" s="36">
        <f t="shared" si="75"/>
        <v>79.5352380952381</v>
      </c>
      <c r="X201" s="36"/>
      <c r="Y201" s="47">
        <v>199</v>
      </c>
      <c r="Z201" s="46">
        <f>IF(AND(Y201&gt;M201,Y201&lt;=U201,Y201&lt;=W201),_XLL.SPLINE(M201:U201,C201:K201,Y201),0)</f>
        <v>0</v>
      </c>
      <c r="AA201" s="34">
        <f t="shared" si="70"/>
        <v>0</v>
      </c>
      <c r="AB201" s="35">
        <f t="shared" si="76"/>
        <v>6.035238095238096</v>
      </c>
    </row>
    <row r="202" spans="2:28" s="35" customFormat="1" ht="12.75">
      <c r="B202" s="44" t="str">
        <f t="shared" si="71"/>
        <v>Peso</v>
      </c>
      <c r="C202" s="35">
        <f t="shared" si="71"/>
        <v>0</v>
      </c>
      <c r="D202" s="35">
        <f t="shared" si="71"/>
        <v>3.78</v>
      </c>
      <c r="E202" s="35">
        <f t="shared" si="71"/>
        <v>6.91</v>
      </c>
      <c r="F202" s="35">
        <f t="shared" si="71"/>
        <v>10.03</v>
      </c>
      <c r="G202" s="35">
        <f t="shared" si="71"/>
        <v>13.16</v>
      </c>
      <c r="H202" s="35">
        <f t="shared" si="71"/>
        <v>15.17</v>
      </c>
      <c r="I202" s="35">
        <f t="shared" si="71"/>
        <v>17.18</v>
      </c>
      <c r="J202" s="35">
        <f t="shared" si="71"/>
        <v>19.2</v>
      </c>
      <c r="K202" s="32">
        <f t="shared" si="72"/>
        <v>23</v>
      </c>
      <c r="L202" s="44" t="str">
        <f t="shared" si="73"/>
        <v>Carico</v>
      </c>
      <c r="M202" s="35">
        <f t="shared" si="73"/>
        <v>1.34350064350064</v>
      </c>
      <c r="N202" s="35">
        <f t="shared" si="73"/>
        <v>7.101360544217691</v>
      </c>
      <c r="O202" s="35">
        <f t="shared" si="73"/>
        <v>16.12200772200772</v>
      </c>
      <c r="P202" s="35">
        <f t="shared" si="73"/>
        <v>29.46104982533554</v>
      </c>
      <c r="Q202" s="35">
        <f t="shared" si="73"/>
        <v>45.295164552307426</v>
      </c>
      <c r="R202" s="35">
        <f t="shared" si="73"/>
        <v>54.219847398418835</v>
      </c>
      <c r="S202" s="35">
        <f t="shared" si="73"/>
        <v>62.37681559110132</v>
      </c>
      <c r="T202" s="35">
        <f t="shared" si="73"/>
        <v>69.09431880860453</v>
      </c>
      <c r="U202" s="36">
        <f t="shared" si="74"/>
        <v>79.65039529325244</v>
      </c>
      <c r="V202" s="36"/>
      <c r="W202" s="36">
        <f t="shared" si="75"/>
        <v>79.5352380952381</v>
      </c>
      <c r="X202" s="36"/>
      <c r="Y202" s="47">
        <v>200</v>
      </c>
      <c r="Z202" s="46">
        <f>IF(AND(Y202&gt;M202,Y202&lt;=U202,Y202&lt;=W202),_XLL.SPLINE(M202:U202,C202:K202,Y202),0)</f>
        <v>0</v>
      </c>
      <c r="AA202" s="34">
        <f t="shared" si="70"/>
        <v>0</v>
      </c>
      <c r="AB202" s="35">
        <f t="shared" si="76"/>
        <v>6.035238095238096</v>
      </c>
    </row>
    <row r="203" spans="2:27" s="35" customFormat="1" ht="12.75">
      <c r="B203" s="44"/>
      <c r="L203" s="44"/>
      <c r="Y203" s="47"/>
      <c r="Z203" s="32">
        <f>SUM(Z2:Z202)</f>
        <v>957.5282578793322</v>
      </c>
      <c r="AA203" s="35">
        <f>SUM(AA2:AA202)</f>
        <v>9.202622731528683</v>
      </c>
    </row>
    <row r="204" spans="2:26" s="35" customFormat="1" ht="12.75">
      <c r="B204" s="44"/>
      <c r="L204" s="44"/>
      <c r="Y204" s="47"/>
      <c r="Z204" s="32"/>
    </row>
    <row r="205" spans="2:26" s="35" customFormat="1" ht="12.75">
      <c r="B205" s="44"/>
      <c r="L205" s="44"/>
      <c r="Y205" s="47"/>
      <c r="Z205" s="32"/>
    </row>
    <row r="206" spans="2:26" s="35" customFormat="1" ht="12.75">
      <c r="B206" s="44"/>
      <c r="L206" s="44"/>
      <c r="Y206" s="47"/>
      <c r="Z206" s="32"/>
    </row>
    <row r="207" spans="2:26" s="35" customFormat="1" ht="12.75">
      <c r="B207" s="44"/>
      <c r="L207" s="44"/>
      <c r="Y207" s="47"/>
      <c r="Z207" s="32"/>
    </row>
    <row r="208" spans="2:26" s="35" customFormat="1" ht="12.75">
      <c r="B208" s="44"/>
      <c r="L208" s="44"/>
      <c r="Y208" s="47"/>
      <c r="Z208" s="32"/>
    </row>
    <row r="209" spans="2:26" s="35" customFormat="1" ht="12.75">
      <c r="B209" s="44"/>
      <c r="L209" s="44"/>
      <c r="Y209" s="47"/>
      <c r="Z209" s="32"/>
    </row>
    <row r="210" spans="2:26" s="35" customFormat="1" ht="12.75">
      <c r="B210" s="44"/>
      <c r="L210" s="44"/>
      <c r="Y210" s="47"/>
      <c r="Z210" s="32"/>
    </row>
    <row r="211" spans="2:26" s="35" customFormat="1" ht="12.75">
      <c r="B211" s="44"/>
      <c r="L211" s="44"/>
      <c r="Y211" s="47"/>
      <c r="Z211" s="32"/>
    </row>
    <row r="212" spans="2:26" s="35" customFormat="1" ht="12.75">
      <c r="B212" s="44"/>
      <c r="L212" s="44"/>
      <c r="Y212" s="47"/>
      <c r="Z212" s="32"/>
    </row>
    <row r="213" spans="2:26" s="35" customFormat="1" ht="12.75">
      <c r="B213" s="44"/>
      <c r="L213" s="44"/>
      <c r="Y213" s="47"/>
      <c r="Z213" s="32"/>
    </row>
    <row r="214" spans="2:26" s="35" customFormat="1" ht="12.75">
      <c r="B214" s="44"/>
      <c r="L214" s="44"/>
      <c r="Y214" s="47"/>
      <c r="Z214" s="32"/>
    </row>
    <row r="215" spans="2:26" s="35" customFormat="1" ht="12.75">
      <c r="B215" s="44"/>
      <c r="L215" s="44"/>
      <c r="Y215" s="47"/>
      <c r="Z215" s="32"/>
    </row>
    <row r="216" spans="2:26" s="35" customFormat="1" ht="12.75">
      <c r="B216" s="44"/>
      <c r="L216" s="44"/>
      <c r="Y216" s="47"/>
      <c r="Z216" s="32"/>
    </row>
    <row r="217" spans="2:26" s="35" customFormat="1" ht="12.75">
      <c r="B217" s="44"/>
      <c r="L217" s="44"/>
      <c r="Y217" s="47"/>
      <c r="Z217" s="32"/>
    </row>
    <row r="218" spans="2:26" s="35" customFormat="1" ht="12.75">
      <c r="B218" s="44"/>
      <c r="L218" s="44"/>
      <c r="Y218" s="47"/>
      <c r="Z218" s="32"/>
    </row>
    <row r="219" spans="2:26" s="35" customFormat="1" ht="12.75">
      <c r="B219" s="44"/>
      <c r="L219" s="44"/>
      <c r="Y219" s="47"/>
      <c r="Z219" s="32"/>
    </row>
    <row r="220" spans="2:26" s="35" customFormat="1" ht="12.75">
      <c r="B220" s="44"/>
      <c r="L220" s="44"/>
      <c r="Y220" s="47"/>
      <c r="Z220" s="32"/>
    </row>
    <row r="221" spans="2:26" s="35" customFormat="1" ht="12.75">
      <c r="B221" s="44"/>
      <c r="L221" s="44"/>
      <c r="Y221" s="47"/>
      <c r="Z221" s="32"/>
    </row>
    <row r="222" spans="2:26" s="35" customFormat="1" ht="12.75">
      <c r="B222" s="44"/>
      <c r="L222" s="44"/>
      <c r="Y222" s="47"/>
      <c r="Z222" s="32"/>
    </row>
    <row r="223" spans="2:26" s="35" customFormat="1" ht="12.75">
      <c r="B223" s="44"/>
      <c r="L223" s="44"/>
      <c r="Y223" s="47"/>
      <c r="Z223" s="32"/>
    </row>
    <row r="224" spans="2:26" s="35" customFormat="1" ht="12.75">
      <c r="B224" s="44"/>
      <c r="L224" s="44"/>
      <c r="Y224" s="47"/>
      <c r="Z224" s="32"/>
    </row>
    <row r="225" spans="2:26" s="35" customFormat="1" ht="12.75">
      <c r="B225" s="44"/>
      <c r="L225" s="44"/>
      <c r="Y225" s="47"/>
      <c r="Z225" s="32"/>
    </row>
    <row r="226" spans="2:26" s="35" customFormat="1" ht="12.75">
      <c r="B226" s="44"/>
      <c r="L226" s="44"/>
      <c r="Y226" s="47"/>
      <c r="Z226" s="32"/>
    </row>
    <row r="227" spans="2:26" s="35" customFormat="1" ht="12.75">
      <c r="B227" s="44"/>
      <c r="L227" s="44"/>
      <c r="Y227" s="47"/>
      <c r="Z227" s="32"/>
    </row>
    <row r="228" spans="2:26" s="35" customFormat="1" ht="12.75">
      <c r="B228" s="44"/>
      <c r="L228" s="44"/>
      <c r="Y228" s="47"/>
      <c r="Z228" s="32"/>
    </row>
    <row r="229" spans="2:26" s="35" customFormat="1" ht="12.75">
      <c r="B229" s="44"/>
      <c r="L229" s="44"/>
      <c r="Y229" s="47"/>
      <c r="Z229" s="32"/>
    </row>
    <row r="230" spans="2:26" s="35" customFormat="1" ht="12.75">
      <c r="B230" s="44"/>
      <c r="L230" s="44"/>
      <c r="Y230" s="47"/>
      <c r="Z230" s="32"/>
    </row>
    <row r="231" spans="2:26" s="35" customFormat="1" ht="12.75">
      <c r="B231" s="44"/>
      <c r="L231" s="44"/>
      <c r="Y231" s="47"/>
      <c r="Z231" s="32"/>
    </row>
    <row r="232" spans="2:26" s="35" customFormat="1" ht="12.75">
      <c r="B232" s="44"/>
      <c r="L232" s="44"/>
      <c r="Y232" s="47"/>
      <c r="Z232" s="32"/>
    </row>
    <row r="233" spans="2:26" s="35" customFormat="1" ht="12.75">
      <c r="B233" s="44"/>
      <c r="L233" s="44"/>
      <c r="Y233" s="47"/>
      <c r="Z233" s="32"/>
    </row>
    <row r="234" spans="2:26" s="35" customFormat="1" ht="12.75">
      <c r="B234" s="44"/>
      <c r="L234" s="44"/>
      <c r="Y234" s="47"/>
      <c r="Z234" s="32"/>
    </row>
    <row r="235" spans="2:26" s="35" customFormat="1" ht="12.75">
      <c r="B235" s="44"/>
      <c r="L235" s="44"/>
      <c r="Y235" s="32"/>
      <c r="Z235" s="32"/>
    </row>
    <row r="236" spans="2:26" s="35" customFormat="1" ht="12.75">
      <c r="B236" s="44"/>
      <c r="L236" s="44"/>
      <c r="Y236" s="32"/>
      <c r="Z236" s="32"/>
    </row>
    <row r="237" spans="2:26" s="35" customFormat="1" ht="12.75">
      <c r="B237" s="44"/>
      <c r="L237" s="44"/>
      <c r="Y237" s="32"/>
      <c r="Z237" s="32"/>
    </row>
    <row r="238" spans="2:26" s="35" customFormat="1" ht="12.75">
      <c r="B238" s="44"/>
      <c r="L238" s="44"/>
      <c r="Y238" s="32"/>
      <c r="Z238" s="32"/>
    </row>
    <row r="239" spans="2:26" s="35" customFormat="1" ht="12.75">
      <c r="B239" s="44"/>
      <c r="L239" s="44"/>
      <c r="Y239" s="32"/>
      <c r="Z239" s="32"/>
    </row>
    <row r="240" spans="2:26" s="35" customFormat="1" ht="12.75">
      <c r="B240" s="44"/>
      <c r="L240" s="44"/>
      <c r="Y240" s="32"/>
      <c r="Z240" s="32"/>
    </row>
    <row r="241" spans="2:26" s="35" customFormat="1" ht="12.75">
      <c r="B241" s="44"/>
      <c r="L241" s="44"/>
      <c r="Y241" s="32"/>
      <c r="Z241" s="32"/>
    </row>
    <row r="242" spans="2:26" s="35" customFormat="1" ht="12.75">
      <c r="B242" s="44"/>
      <c r="L242" s="44"/>
      <c r="Y242" s="32"/>
      <c r="Z242" s="32"/>
    </row>
    <row r="243" spans="2:26" s="35" customFormat="1" ht="12.75">
      <c r="B243" s="44"/>
      <c r="L243" s="44"/>
      <c r="Y243" s="32"/>
      <c r="Z243" s="32"/>
    </row>
    <row r="244" spans="2:26" s="35" customFormat="1" ht="12.75">
      <c r="B244" s="44"/>
      <c r="L244" s="44"/>
      <c r="Y244" s="32"/>
      <c r="Z244" s="32"/>
    </row>
    <row r="245" spans="2:26" s="35" customFormat="1" ht="12.75">
      <c r="B245" s="44"/>
      <c r="L245" s="44"/>
      <c r="Y245" s="32"/>
      <c r="Z245" s="32"/>
    </row>
    <row r="246" spans="2:26" s="35" customFormat="1" ht="12.75">
      <c r="B246" s="44"/>
      <c r="L246" s="44"/>
      <c r="Y246" s="32"/>
      <c r="Z246" s="32"/>
    </row>
    <row r="247" spans="2:26" s="35" customFormat="1" ht="12.75">
      <c r="B247" s="44"/>
      <c r="L247" s="44"/>
      <c r="Y247" s="32"/>
      <c r="Z247" s="32"/>
    </row>
    <row r="248" spans="2:26" s="35" customFormat="1" ht="12.75">
      <c r="B248" s="44"/>
      <c r="L248" s="44"/>
      <c r="Y248" s="32"/>
      <c r="Z248" s="32"/>
    </row>
    <row r="249" spans="2:26" s="35" customFormat="1" ht="12.75">
      <c r="B249" s="44"/>
      <c r="L249" s="44"/>
      <c r="Y249" s="32"/>
      <c r="Z249" s="32"/>
    </row>
    <row r="250" spans="2:26" s="35" customFormat="1" ht="12.75">
      <c r="B250" s="44"/>
      <c r="L250" s="44"/>
      <c r="Y250" s="32"/>
      <c r="Z250" s="32"/>
    </row>
    <row r="251" spans="2:26" s="35" customFormat="1" ht="12.75">
      <c r="B251" s="44"/>
      <c r="L251" s="44"/>
      <c r="Y251" s="32"/>
      <c r="Z251" s="32"/>
    </row>
    <row r="252" spans="2:26" s="35" customFormat="1" ht="12.75">
      <c r="B252" s="44"/>
      <c r="L252" s="44"/>
      <c r="Y252" s="32"/>
      <c r="Z252" s="32"/>
    </row>
    <row r="253" spans="2:26" s="35" customFormat="1" ht="12.75">
      <c r="B253" s="44"/>
      <c r="L253" s="44"/>
      <c r="Y253" s="32"/>
      <c r="Z253" s="32"/>
    </row>
    <row r="254" spans="2:26" s="35" customFormat="1" ht="12.75">
      <c r="B254" s="44"/>
      <c r="L254" s="44"/>
      <c r="Y254" s="32"/>
      <c r="Z254" s="32"/>
    </row>
    <row r="255" spans="2:26" s="35" customFormat="1" ht="12.75">
      <c r="B255" s="44"/>
      <c r="L255" s="44"/>
      <c r="Y255" s="32"/>
      <c r="Z255" s="32"/>
    </row>
    <row r="256" spans="2:26" s="35" customFormat="1" ht="12.75">
      <c r="B256" s="44"/>
      <c r="L256" s="44"/>
      <c r="Y256" s="32"/>
      <c r="Z256" s="32"/>
    </row>
    <row r="257" spans="2:26" s="35" customFormat="1" ht="12.75">
      <c r="B257" s="44"/>
      <c r="L257" s="44"/>
      <c r="Y257" s="32"/>
      <c r="Z257" s="32"/>
    </row>
    <row r="258" spans="2:26" s="35" customFormat="1" ht="12.75">
      <c r="B258" s="44"/>
      <c r="L258" s="44"/>
      <c r="Y258" s="32"/>
      <c r="Z258" s="32"/>
    </row>
    <row r="259" spans="2:26" s="35" customFormat="1" ht="12.75">
      <c r="B259" s="44"/>
      <c r="L259" s="44"/>
      <c r="Y259" s="32"/>
      <c r="Z259" s="32"/>
    </row>
    <row r="260" spans="2:26" s="35" customFormat="1" ht="12.75">
      <c r="B260" s="44"/>
      <c r="L260" s="44"/>
      <c r="Y260" s="32"/>
      <c r="Z260" s="32"/>
    </row>
    <row r="261" spans="2:26" s="35" customFormat="1" ht="12.75">
      <c r="B261" s="44"/>
      <c r="L261" s="44"/>
      <c r="Y261" s="32"/>
      <c r="Z261" s="32"/>
    </row>
    <row r="262" spans="2:26" s="35" customFormat="1" ht="12.75">
      <c r="B262" s="44"/>
      <c r="L262" s="44"/>
      <c r="Y262" s="32"/>
      <c r="Z262" s="32"/>
    </row>
    <row r="263" spans="2:26" s="35" customFormat="1" ht="12.75">
      <c r="B263" s="44"/>
      <c r="L263" s="44"/>
      <c r="Y263" s="32"/>
      <c r="Z263" s="32"/>
    </row>
    <row r="264" spans="2:26" s="35" customFormat="1" ht="12.75">
      <c r="B264" s="44"/>
      <c r="L264" s="44"/>
      <c r="Y264" s="32"/>
      <c r="Z264" s="32"/>
    </row>
    <row r="265" spans="2:26" s="35" customFormat="1" ht="12.75">
      <c r="B265" s="44"/>
      <c r="L265" s="44"/>
      <c r="Y265" s="32"/>
      <c r="Z265" s="32"/>
    </row>
    <row r="266" spans="2:26" s="35" customFormat="1" ht="12.75">
      <c r="B266" s="44"/>
      <c r="L266" s="44"/>
      <c r="Y266" s="32"/>
      <c r="Z266" s="32"/>
    </row>
    <row r="267" spans="2:26" s="35" customFormat="1" ht="12.75">
      <c r="B267" s="44"/>
      <c r="L267" s="44"/>
      <c r="Y267" s="32"/>
      <c r="Z267" s="32"/>
    </row>
    <row r="268" spans="2:26" s="35" customFormat="1" ht="12.75">
      <c r="B268" s="44"/>
      <c r="L268" s="44"/>
      <c r="Y268" s="32"/>
      <c r="Z268" s="32"/>
    </row>
    <row r="269" spans="2:26" s="35" customFormat="1" ht="12.75">
      <c r="B269" s="44"/>
      <c r="L269" s="44"/>
      <c r="Y269" s="32"/>
      <c r="Z269" s="32"/>
    </row>
    <row r="270" spans="2:26" s="35" customFormat="1" ht="12.75">
      <c r="B270" s="44"/>
      <c r="L270" s="44"/>
      <c r="Y270" s="32"/>
      <c r="Z270" s="32"/>
    </row>
    <row r="271" spans="2:26" s="35" customFormat="1" ht="12.75">
      <c r="B271" s="44"/>
      <c r="L271" s="44"/>
      <c r="Y271" s="32"/>
      <c r="Z271" s="32"/>
    </row>
    <row r="272" spans="2:26" s="35" customFormat="1" ht="12.75">
      <c r="B272" s="44"/>
      <c r="L272" s="44"/>
      <c r="Y272" s="32"/>
      <c r="Z272" s="32"/>
    </row>
    <row r="273" spans="2:26" s="35" customFormat="1" ht="12.75">
      <c r="B273" s="44"/>
      <c r="L273" s="44"/>
      <c r="Y273" s="32"/>
      <c r="Z273" s="32"/>
    </row>
    <row r="274" spans="2:26" s="35" customFormat="1" ht="12.75">
      <c r="B274" s="44"/>
      <c r="L274" s="44"/>
      <c r="Y274" s="32"/>
      <c r="Z274" s="32"/>
    </row>
    <row r="275" spans="2:26" s="35" customFormat="1" ht="12.75">
      <c r="B275" s="44"/>
      <c r="L275" s="44"/>
      <c r="Y275" s="32"/>
      <c r="Z275" s="32"/>
    </row>
    <row r="276" spans="2:26" s="35" customFormat="1" ht="12.75">
      <c r="B276" s="44"/>
      <c r="L276" s="44"/>
      <c r="Y276" s="32"/>
      <c r="Z276" s="32"/>
    </row>
    <row r="277" spans="2:26" s="35" customFormat="1" ht="12.75">
      <c r="B277" s="44"/>
      <c r="L277" s="44"/>
      <c r="Y277" s="32"/>
      <c r="Z277" s="32"/>
    </row>
    <row r="278" spans="2:26" s="35" customFormat="1" ht="12.75">
      <c r="B278" s="44"/>
      <c r="L278" s="44"/>
      <c r="Y278" s="32"/>
      <c r="Z278" s="32"/>
    </row>
    <row r="279" spans="2:26" s="35" customFormat="1" ht="12.75">
      <c r="B279" s="44"/>
      <c r="C279" s="32"/>
      <c r="D279" s="32"/>
      <c r="E279" s="32"/>
      <c r="F279" s="32"/>
      <c r="G279" s="32"/>
      <c r="H279" s="32"/>
      <c r="I279" s="32"/>
      <c r="J279" s="32"/>
      <c r="K279" s="32"/>
      <c r="L279" s="44"/>
      <c r="N279" s="36"/>
      <c r="Y279" s="32"/>
      <c r="Z279" s="32"/>
    </row>
    <row r="280" spans="2:26" s="35" customFormat="1" ht="12.75">
      <c r="B280" s="44"/>
      <c r="C280" s="32"/>
      <c r="D280" s="32"/>
      <c r="E280" s="32"/>
      <c r="F280" s="32"/>
      <c r="G280" s="32"/>
      <c r="H280" s="32"/>
      <c r="I280" s="32"/>
      <c r="J280" s="32"/>
      <c r="K280" s="32"/>
      <c r="L280" s="44"/>
      <c r="N280" s="36"/>
      <c r="Y280" s="32"/>
      <c r="Z280" s="32"/>
    </row>
    <row r="281" spans="2:26" s="35" customFormat="1" ht="12.75">
      <c r="B281" s="44"/>
      <c r="C281" s="32"/>
      <c r="D281" s="32"/>
      <c r="E281" s="32"/>
      <c r="F281" s="32"/>
      <c r="G281" s="32"/>
      <c r="H281" s="32"/>
      <c r="I281" s="32"/>
      <c r="J281" s="32"/>
      <c r="K281" s="32"/>
      <c r="L281" s="44"/>
      <c r="N281" s="36"/>
      <c r="Y281" s="32"/>
      <c r="Z281" s="32"/>
    </row>
    <row r="282" spans="2:26" s="35" customFormat="1" ht="12.75">
      <c r="B282" s="44"/>
      <c r="C282" s="32"/>
      <c r="D282" s="32"/>
      <c r="E282" s="32"/>
      <c r="F282" s="32"/>
      <c r="G282" s="32"/>
      <c r="H282" s="32"/>
      <c r="I282" s="32"/>
      <c r="J282" s="32"/>
      <c r="K282" s="32"/>
      <c r="L282" s="44"/>
      <c r="N282" s="36"/>
      <c r="Y282" s="32"/>
      <c r="Z282" s="32"/>
    </row>
    <row r="283" spans="2:26" s="35" customFormat="1" ht="12.75">
      <c r="B283" s="44"/>
      <c r="C283" s="32"/>
      <c r="D283" s="32"/>
      <c r="E283" s="32"/>
      <c r="F283" s="32"/>
      <c r="G283" s="32"/>
      <c r="H283" s="32"/>
      <c r="I283" s="32"/>
      <c r="J283" s="32"/>
      <c r="K283" s="32"/>
      <c r="L283" s="44"/>
      <c r="N283" s="36"/>
      <c r="Y283" s="32"/>
      <c r="Z283" s="32"/>
    </row>
    <row r="284" spans="2:26" s="35" customFormat="1" ht="12.75">
      <c r="B284" s="44"/>
      <c r="C284" s="32"/>
      <c r="D284" s="32"/>
      <c r="E284" s="32"/>
      <c r="F284" s="32"/>
      <c r="G284" s="32"/>
      <c r="H284" s="32"/>
      <c r="I284" s="32"/>
      <c r="J284" s="32"/>
      <c r="K284" s="32"/>
      <c r="L284" s="44"/>
      <c r="N284" s="36"/>
      <c r="Y284" s="32"/>
      <c r="Z284" s="32"/>
    </row>
    <row r="285" spans="2:26" s="35" customFormat="1" ht="12.75">
      <c r="B285" s="44"/>
      <c r="C285" s="32"/>
      <c r="D285" s="32"/>
      <c r="E285" s="32"/>
      <c r="F285" s="32"/>
      <c r="G285" s="32"/>
      <c r="H285" s="32"/>
      <c r="I285" s="32"/>
      <c r="J285" s="32"/>
      <c r="K285" s="32"/>
      <c r="L285" s="44"/>
      <c r="N285" s="36"/>
      <c r="Y285" s="32"/>
      <c r="Z285" s="32"/>
    </row>
    <row r="286" spans="2:26" s="35" customFormat="1" ht="12.75">
      <c r="B286" s="44"/>
      <c r="C286" s="32"/>
      <c r="D286" s="32"/>
      <c r="E286" s="32"/>
      <c r="F286" s="32"/>
      <c r="G286" s="32"/>
      <c r="H286" s="32"/>
      <c r="I286" s="32"/>
      <c r="J286" s="32"/>
      <c r="K286" s="32"/>
      <c r="L286" s="44"/>
      <c r="N286" s="36"/>
      <c r="Y286" s="32"/>
      <c r="Z286" s="32"/>
    </row>
    <row r="287" spans="2:26" s="35" customFormat="1" ht="12.75">
      <c r="B287" s="44"/>
      <c r="C287" s="32"/>
      <c r="D287" s="32"/>
      <c r="E287" s="32"/>
      <c r="F287" s="32"/>
      <c r="G287" s="32"/>
      <c r="H287" s="32"/>
      <c r="I287" s="32"/>
      <c r="J287" s="32"/>
      <c r="K287" s="32"/>
      <c r="L287" s="44"/>
      <c r="N287" s="36"/>
      <c r="Y287" s="32"/>
      <c r="Z287" s="32"/>
    </row>
    <row r="288" spans="2:26" s="35" customFormat="1" ht="12.75">
      <c r="B288" s="44"/>
      <c r="C288" s="32"/>
      <c r="D288" s="32"/>
      <c r="E288" s="32"/>
      <c r="F288" s="32"/>
      <c r="G288" s="32"/>
      <c r="H288" s="32"/>
      <c r="I288" s="32"/>
      <c r="J288" s="32"/>
      <c r="K288" s="32"/>
      <c r="L288" s="44"/>
      <c r="N288" s="36"/>
      <c r="Y288" s="32"/>
      <c r="Z288" s="32"/>
    </row>
    <row r="289" spans="2:26" s="35" customFormat="1" ht="12.75">
      <c r="B289" s="44"/>
      <c r="C289" s="32"/>
      <c r="D289" s="32"/>
      <c r="E289" s="32"/>
      <c r="F289" s="32"/>
      <c r="G289" s="32"/>
      <c r="H289" s="32"/>
      <c r="I289" s="32"/>
      <c r="J289" s="32"/>
      <c r="K289" s="32"/>
      <c r="L289" s="44"/>
      <c r="N289" s="36"/>
      <c r="Y289" s="32"/>
      <c r="Z289" s="32"/>
    </row>
    <row r="290" spans="2:26" s="35" customFormat="1" ht="12.75">
      <c r="B290" s="44"/>
      <c r="C290" s="32"/>
      <c r="D290" s="32"/>
      <c r="E290" s="32"/>
      <c r="F290" s="32"/>
      <c r="G290" s="32"/>
      <c r="H290" s="32"/>
      <c r="I290" s="32"/>
      <c r="J290" s="32"/>
      <c r="K290" s="32"/>
      <c r="L290" s="44"/>
      <c r="N290" s="36"/>
      <c r="Y290" s="32"/>
      <c r="Z290" s="32"/>
    </row>
    <row r="291" spans="2:26" s="35" customFormat="1" ht="12.75">
      <c r="B291" s="44"/>
      <c r="C291" s="32"/>
      <c r="D291" s="32"/>
      <c r="E291" s="32"/>
      <c r="F291" s="32"/>
      <c r="G291" s="32"/>
      <c r="H291" s="32"/>
      <c r="I291" s="32"/>
      <c r="J291" s="32"/>
      <c r="K291" s="32"/>
      <c r="L291" s="44"/>
      <c r="N291" s="36"/>
      <c r="Y291" s="32"/>
      <c r="Z291" s="32"/>
    </row>
    <row r="292" spans="2:26" s="35" customFormat="1" ht="12.75">
      <c r="B292" s="44"/>
      <c r="C292" s="32"/>
      <c r="D292" s="32"/>
      <c r="E292" s="32"/>
      <c r="F292" s="32"/>
      <c r="G292" s="32"/>
      <c r="H292" s="32"/>
      <c r="I292" s="32"/>
      <c r="J292" s="32"/>
      <c r="K292" s="32"/>
      <c r="L292" s="44"/>
      <c r="N292" s="36"/>
      <c r="Y292" s="32"/>
      <c r="Z292" s="32"/>
    </row>
    <row r="293" spans="2:26" s="35" customFormat="1" ht="12.75">
      <c r="B293" s="44"/>
      <c r="C293" s="32"/>
      <c r="D293" s="32"/>
      <c r="E293" s="32"/>
      <c r="F293" s="32"/>
      <c r="G293" s="32"/>
      <c r="H293" s="32"/>
      <c r="I293" s="32"/>
      <c r="J293" s="32"/>
      <c r="K293" s="32"/>
      <c r="L293" s="44"/>
      <c r="N293" s="36"/>
      <c r="Y293" s="32"/>
      <c r="Z293" s="32"/>
    </row>
    <row r="294" spans="2:26" s="35" customFormat="1" ht="12.75">
      <c r="B294" s="44"/>
      <c r="C294" s="32"/>
      <c r="D294" s="32"/>
      <c r="E294" s="32"/>
      <c r="F294" s="32"/>
      <c r="G294" s="32"/>
      <c r="H294" s="32"/>
      <c r="I294" s="32"/>
      <c r="J294" s="32"/>
      <c r="K294" s="32"/>
      <c r="L294" s="44"/>
      <c r="N294" s="36"/>
      <c r="Y294" s="32"/>
      <c r="Z294" s="32"/>
    </row>
    <row r="295" spans="2:26" s="35" customFormat="1" ht="12.75">
      <c r="B295" s="44"/>
      <c r="C295" s="32"/>
      <c r="D295" s="32"/>
      <c r="E295" s="32"/>
      <c r="F295" s="32"/>
      <c r="G295" s="32"/>
      <c r="H295" s="32"/>
      <c r="I295" s="32"/>
      <c r="J295" s="32"/>
      <c r="K295" s="32"/>
      <c r="L295" s="44"/>
      <c r="N295" s="36"/>
      <c r="Y295" s="32"/>
      <c r="Z295" s="32"/>
    </row>
    <row r="296" spans="2:26" s="35" customFormat="1" ht="12.75">
      <c r="B296" s="44"/>
      <c r="C296" s="32"/>
      <c r="D296" s="32"/>
      <c r="E296" s="32"/>
      <c r="F296" s="32"/>
      <c r="G296" s="32"/>
      <c r="H296" s="32"/>
      <c r="I296" s="32"/>
      <c r="J296" s="32"/>
      <c r="K296" s="32"/>
      <c r="L296" s="44"/>
      <c r="N296" s="36"/>
      <c r="Y296" s="32"/>
      <c r="Z296" s="32"/>
    </row>
    <row r="297" spans="2:26" s="35" customFormat="1" ht="12.75">
      <c r="B297" s="44"/>
      <c r="C297" s="32"/>
      <c r="D297" s="32"/>
      <c r="E297" s="32"/>
      <c r="F297" s="32"/>
      <c r="G297" s="32"/>
      <c r="H297" s="32"/>
      <c r="I297" s="32"/>
      <c r="J297" s="32"/>
      <c r="K297" s="32"/>
      <c r="L297" s="44"/>
      <c r="N297" s="36"/>
      <c r="Y297" s="32"/>
      <c r="Z297" s="32"/>
    </row>
    <row r="298" spans="2:26" s="35" customFormat="1" ht="12.75">
      <c r="B298" s="44"/>
      <c r="C298" s="32"/>
      <c r="D298" s="32"/>
      <c r="E298" s="32"/>
      <c r="F298" s="32"/>
      <c r="G298" s="32"/>
      <c r="H298" s="32"/>
      <c r="I298" s="32"/>
      <c r="J298" s="32"/>
      <c r="K298" s="32"/>
      <c r="L298" s="44"/>
      <c r="N298" s="36"/>
      <c r="Y298" s="32"/>
      <c r="Z298" s="32"/>
    </row>
    <row r="299" spans="2:26" s="35" customFormat="1" ht="12.75">
      <c r="B299" s="44"/>
      <c r="C299" s="32"/>
      <c r="D299" s="32"/>
      <c r="E299" s="32"/>
      <c r="F299" s="32"/>
      <c r="G299" s="32"/>
      <c r="H299" s="32"/>
      <c r="I299" s="32"/>
      <c r="J299" s="32"/>
      <c r="K299" s="32"/>
      <c r="L299" s="44"/>
      <c r="N299" s="36"/>
      <c r="Y299" s="32"/>
      <c r="Z299" s="32"/>
    </row>
    <row r="300" spans="2:26" s="35" customFormat="1" ht="12.75">
      <c r="B300" s="44"/>
      <c r="C300" s="32"/>
      <c r="D300" s="32"/>
      <c r="E300" s="32"/>
      <c r="F300" s="32"/>
      <c r="G300" s="32"/>
      <c r="H300" s="32"/>
      <c r="I300" s="32"/>
      <c r="J300" s="32"/>
      <c r="K300" s="32"/>
      <c r="L300" s="44"/>
      <c r="N300" s="36"/>
      <c r="Y300" s="32"/>
      <c r="Z300" s="32"/>
    </row>
    <row r="301" spans="2:26" s="35" customFormat="1" ht="12.75">
      <c r="B301" s="44"/>
      <c r="C301" s="32"/>
      <c r="D301" s="32"/>
      <c r="E301" s="32"/>
      <c r="F301" s="32"/>
      <c r="G301" s="32"/>
      <c r="H301" s="32"/>
      <c r="I301" s="32"/>
      <c r="J301" s="32"/>
      <c r="K301" s="32"/>
      <c r="L301" s="44"/>
      <c r="N301" s="36"/>
      <c r="Y301" s="32"/>
      <c r="Z301" s="32"/>
    </row>
    <row r="302" spans="2:26" s="35" customFormat="1" ht="12.75">
      <c r="B302" s="44"/>
      <c r="C302" s="32"/>
      <c r="D302" s="32"/>
      <c r="E302" s="32"/>
      <c r="F302" s="32"/>
      <c r="G302" s="32"/>
      <c r="H302" s="32"/>
      <c r="I302" s="32"/>
      <c r="J302" s="32"/>
      <c r="K302" s="32"/>
      <c r="L302" s="44"/>
      <c r="N302" s="36"/>
      <c r="Y302" s="32"/>
      <c r="Z302" s="32"/>
    </row>
    <row r="303" spans="2:26" s="35" customFormat="1" ht="12.75">
      <c r="B303" s="44"/>
      <c r="C303" s="32"/>
      <c r="D303" s="32"/>
      <c r="E303" s="32"/>
      <c r="F303" s="32"/>
      <c r="G303" s="32"/>
      <c r="H303" s="32"/>
      <c r="I303" s="32"/>
      <c r="J303" s="32"/>
      <c r="K303" s="32"/>
      <c r="L303" s="44"/>
      <c r="N303" s="36"/>
      <c r="Y303" s="32"/>
      <c r="Z303" s="32"/>
    </row>
    <row r="304" spans="2:26" s="35" customFormat="1" ht="12.75">
      <c r="B304" s="44"/>
      <c r="C304" s="32"/>
      <c r="D304" s="32"/>
      <c r="E304" s="32"/>
      <c r="F304" s="32"/>
      <c r="G304" s="32"/>
      <c r="H304" s="32"/>
      <c r="I304" s="32"/>
      <c r="J304" s="32"/>
      <c r="K304" s="32"/>
      <c r="L304" s="44"/>
      <c r="N304" s="36"/>
      <c r="Y304" s="32"/>
      <c r="Z304" s="32"/>
    </row>
    <row r="305" spans="2:26" s="35" customFormat="1" ht="12.75">
      <c r="B305" s="44"/>
      <c r="C305" s="32"/>
      <c r="D305" s="32"/>
      <c r="E305" s="32"/>
      <c r="F305" s="32"/>
      <c r="G305" s="32"/>
      <c r="H305" s="32"/>
      <c r="I305" s="32"/>
      <c r="J305" s="32"/>
      <c r="K305" s="32"/>
      <c r="L305" s="44"/>
      <c r="N305" s="36"/>
      <c r="Y305" s="32"/>
      <c r="Z305" s="32"/>
    </row>
    <row r="306" spans="2:26" s="35" customFormat="1" ht="12.75">
      <c r="B306" s="44"/>
      <c r="C306" s="32"/>
      <c r="D306" s="32"/>
      <c r="E306" s="32"/>
      <c r="F306" s="32"/>
      <c r="G306" s="32"/>
      <c r="H306" s="32"/>
      <c r="I306" s="32"/>
      <c r="J306" s="32"/>
      <c r="K306" s="32"/>
      <c r="L306" s="44"/>
      <c r="N306" s="36"/>
      <c r="Y306" s="32"/>
      <c r="Z306" s="32"/>
    </row>
    <row r="307" spans="2:26" s="35" customFormat="1" ht="12.75">
      <c r="B307" s="44"/>
      <c r="C307" s="32"/>
      <c r="D307" s="32"/>
      <c r="E307" s="32"/>
      <c r="F307" s="32"/>
      <c r="G307" s="32"/>
      <c r="H307" s="32"/>
      <c r="I307" s="32"/>
      <c r="J307" s="32"/>
      <c r="K307" s="32"/>
      <c r="L307" s="44"/>
      <c r="N307" s="36"/>
      <c r="Y307" s="32"/>
      <c r="Z307" s="32"/>
    </row>
    <row r="308" spans="2:26" s="35" customFormat="1" ht="12.75">
      <c r="B308" s="44"/>
      <c r="C308" s="32"/>
      <c r="D308" s="32"/>
      <c r="E308" s="32"/>
      <c r="F308" s="32"/>
      <c r="G308" s="32"/>
      <c r="H308" s="32"/>
      <c r="I308" s="32"/>
      <c r="J308" s="32"/>
      <c r="K308" s="32"/>
      <c r="L308" s="44"/>
      <c r="N308" s="36"/>
      <c r="Y308" s="32"/>
      <c r="Z308" s="32"/>
    </row>
    <row r="309" spans="2:26" s="35" customFormat="1" ht="12.75">
      <c r="B309" s="44"/>
      <c r="C309" s="32"/>
      <c r="D309" s="32"/>
      <c r="E309" s="32"/>
      <c r="F309" s="32"/>
      <c r="G309" s="32"/>
      <c r="H309" s="32"/>
      <c r="I309" s="32"/>
      <c r="J309" s="32"/>
      <c r="K309" s="32"/>
      <c r="L309" s="44"/>
      <c r="N309" s="36"/>
      <c r="Y309" s="32"/>
      <c r="Z309" s="32"/>
    </row>
    <row r="310" spans="2:26" s="35" customFormat="1" ht="12.75">
      <c r="B310" s="44"/>
      <c r="C310" s="32"/>
      <c r="D310" s="32"/>
      <c r="E310" s="32"/>
      <c r="F310" s="32"/>
      <c r="G310" s="32"/>
      <c r="H310" s="32"/>
      <c r="I310" s="32"/>
      <c r="J310" s="32"/>
      <c r="K310" s="32"/>
      <c r="L310" s="44"/>
      <c r="N310" s="36"/>
      <c r="Y310" s="32"/>
      <c r="Z310" s="32"/>
    </row>
    <row r="311" spans="2:26" s="35" customFormat="1" ht="12.75">
      <c r="B311" s="44"/>
      <c r="C311" s="32"/>
      <c r="D311" s="32"/>
      <c r="E311" s="32"/>
      <c r="F311" s="32"/>
      <c r="G311" s="32"/>
      <c r="H311" s="32"/>
      <c r="I311" s="32"/>
      <c r="J311" s="32"/>
      <c r="K311" s="32"/>
      <c r="L311" s="44"/>
      <c r="N311" s="36"/>
      <c r="Y311" s="32"/>
      <c r="Z311" s="32"/>
    </row>
    <row r="312" spans="2:26" s="35" customFormat="1" ht="12.75">
      <c r="B312" s="44"/>
      <c r="C312" s="32"/>
      <c r="D312" s="32"/>
      <c r="E312" s="32"/>
      <c r="F312" s="32"/>
      <c r="G312" s="32"/>
      <c r="H312" s="32"/>
      <c r="I312" s="32"/>
      <c r="J312" s="32"/>
      <c r="K312" s="32"/>
      <c r="L312" s="44"/>
      <c r="N312" s="36"/>
      <c r="Y312" s="32"/>
      <c r="Z312" s="32"/>
    </row>
    <row r="313" spans="2:26" s="35" customFormat="1" ht="12.75">
      <c r="B313" s="44"/>
      <c r="C313" s="32"/>
      <c r="D313" s="32"/>
      <c r="E313" s="32"/>
      <c r="F313" s="32"/>
      <c r="G313" s="32"/>
      <c r="H313" s="32"/>
      <c r="I313" s="32"/>
      <c r="J313" s="32"/>
      <c r="K313" s="32"/>
      <c r="L313" s="44"/>
      <c r="N313" s="36"/>
      <c r="Y313" s="32"/>
      <c r="Z313" s="32"/>
    </row>
    <row r="314" spans="2:26" s="35" customFormat="1" ht="12.75">
      <c r="B314" s="44"/>
      <c r="C314" s="32"/>
      <c r="D314" s="32"/>
      <c r="E314" s="32"/>
      <c r="F314" s="32"/>
      <c r="G314" s="32"/>
      <c r="H314" s="32"/>
      <c r="I314" s="32"/>
      <c r="J314" s="32"/>
      <c r="K314" s="32"/>
      <c r="L314" s="44"/>
      <c r="N314" s="36"/>
      <c r="Y314" s="32"/>
      <c r="Z314" s="32"/>
    </row>
    <row r="315" spans="2:26" s="35" customFormat="1" ht="12.75">
      <c r="B315" s="44"/>
      <c r="C315" s="32"/>
      <c r="D315" s="32"/>
      <c r="E315" s="32"/>
      <c r="F315" s="32"/>
      <c r="G315" s="32"/>
      <c r="H315" s="32"/>
      <c r="I315" s="32"/>
      <c r="J315" s="32"/>
      <c r="K315" s="32"/>
      <c r="L315" s="44"/>
      <c r="N315" s="36"/>
      <c r="Y315" s="32"/>
      <c r="Z315" s="32"/>
    </row>
    <row r="316" spans="2:26" s="35" customFormat="1" ht="12.75">
      <c r="B316" s="44"/>
      <c r="C316" s="32"/>
      <c r="D316" s="32"/>
      <c r="E316" s="32"/>
      <c r="F316" s="32"/>
      <c r="G316" s="32"/>
      <c r="H316" s="32"/>
      <c r="I316" s="32"/>
      <c r="J316" s="32"/>
      <c r="K316" s="32"/>
      <c r="L316" s="44"/>
      <c r="N316" s="36"/>
      <c r="Y316" s="32"/>
      <c r="Z316" s="32"/>
    </row>
    <row r="317" spans="2:26" s="35" customFormat="1" ht="12.75">
      <c r="B317" s="44"/>
      <c r="C317" s="32"/>
      <c r="D317" s="32"/>
      <c r="E317" s="32"/>
      <c r="F317" s="32"/>
      <c r="G317" s="32"/>
      <c r="H317" s="32"/>
      <c r="I317" s="32"/>
      <c r="J317" s="32"/>
      <c r="K317" s="32"/>
      <c r="L317" s="44"/>
      <c r="N317" s="36"/>
      <c r="Y317" s="32"/>
      <c r="Z317" s="32"/>
    </row>
    <row r="318" spans="2:26" s="35" customFormat="1" ht="12.75">
      <c r="B318" s="44"/>
      <c r="C318" s="32"/>
      <c r="D318" s="32"/>
      <c r="E318" s="32"/>
      <c r="F318" s="32"/>
      <c r="G318" s="32"/>
      <c r="H318" s="32"/>
      <c r="I318" s="32"/>
      <c r="J318" s="32"/>
      <c r="K318" s="32"/>
      <c r="L318" s="44"/>
      <c r="N318" s="36"/>
      <c r="Y318" s="32"/>
      <c r="Z318" s="32"/>
    </row>
    <row r="319" spans="2:26" s="35" customFormat="1" ht="12.75">
      <c r="B319" s="44"/>
      <c r="C319" s="32"/>
      <c r="D319" s="32"/>
      <c r="E319" s="32"/>
      <c r="F319" s="32"/>
      <c r="G319" s="32"/>
      <c r="H319" s="32"/>
      <c r="I319" s="32"/>
      <c r="J319" s="32"/>
      <c r="K319" s="32"/>
      <c r="L319" s="44"/>
      <c r="N319" s="36"/>
      <c r="Y319" s="32"/>
      <c r="Z319" s="32"/>
    </row>
    <row r="320" spans="2:26" s="35" customFormat="1" ht="12.75">
      <c r="B320" s="44"/>
      <c r="C320" s="32"/>
      <c r="D320" s="32"/>
      <c r="E320" s="32"/>
      <c r="F320" s="32"/>
      <c r="G320" s="32"/>
      <c r="H320" s="32"/>
      <c r="I320" s="32"/>
      <c r="J320" s="32"/>
      <c r="K320" s="32"/>
      <c r="L320" s="44"/>
      <c r="N320" s="36"/>
      <c r="Y320" s="32"/>
      <c r="Z320" s="32"/>
    </row>
    <row r="321" spans="2:26" s="35" customFormat="1" ht="12.75">
      <c r="B321" s="44"/>
      <c r="C321" s="32"/>
      <c r="D321" s="32"/>
      <c r="E321" s="32"/>
      <c r="F321" s="32"/>
      <c r="G321" s="32"/>
      <c r="H321" s="32"/>
      <c r="I321" s="32"/>
      <c r="J321" s="32"/>
      <c r="K321" s="32"/>
      <c r="L321" s="44"/>
      <c r="N321" s="36"/>
      <c r="Y321" s="32"/>
      <c r="Z321" s="32"/>
    </row>
    <row r="322" spans="2:26" s="35" customFormat="1" ht="12.75">
      <c r="B322" s="44"/>
      <c r="C322" s="32"/>
      <c r="D322" s="32"/>
      <c r="E322" s="32"/>
      <c r="F322" s="32"/>
      <c r="G322" s="32"/>
      <c r="H322" s="32"/>
      <c r="I322" s="32"/>
      <c r="J322" s="32"/>
      <c r="K322" s="32"/>
      <c r="L322" s="44"/>
      <c r="N322" s="36"/>
      <c r="Y322" s="32"/>
      <c r="Z322" s="32"/>
    </row>
    <row r="323" spans="2:26" s="35" customFormat="1" ht="12.75">
      <c r="B323" s="44"/>
      <c r="C323" s="32"/>
      <c r="D323" s="32"/>
      <c r="E323" s="32"/>
      <c r="F323" s="32"/>
      <c r="G323" s="32"/>
      <c r="H323" s="32"/>
      <c r="I323" s="32"/>
      <c r="J323" s="32"/>
      <c r="K323" s="32"/>
      <c r="L323" s="44"/>
      <c r="N323" s="36"/>
      <c r="Y323" s="32"/>
      <c r="Z323" s="32"/>
    </row>
    <row r="324" spans="2:26" s="35" customFormat="1" ht="12.75">
      <c r="B324" s="44"/>
      <c r="C324" s="32"/>
      <c r="D324" s="32"/>
      <c r="E324" s="32"/>
      <c r="F324" s="32"/>
      <c r="G324" s="32"/>
      <c r="H324" s="32"/>
      <c r="I324" s="32"/>
      <c r="J324" s="32"/>
      <c r="K324" s="32"/>
      <c r="L324" s="44"/>
      <c r="N324" s="36"/>
      <c r="Y324" s="32"/>
      <c r="Z324" s="32"/>
    </row>
    <row r="325" spans="2:26" s="35" customFormat="1" ht="12.75">
      <c r="B325" s="44"/>
      <c r="C325" s="32"/>
      <c r="D325" s="32"/>
      <c r="E325" s="32"/>
      <c r="F325" s="32"/>
      <c r="G325" s="32"/>
      <c r="H325" s="32"/>
      <c r="I325" s="32"/>
      <c r="J325" s="32"/>
      <c r="K325" s="32"/>
      <c r="L325" s="44"/>
      <c r="N325" s="36"/>
      <c r="Y325" s="32"/>
      <c r="Z325" s="32"/>
    </row>
    <row r="326" spans="2:26" s="35" customFormat="1" ht="12.75">
      <c r="B326" s="44"/>
      <c r="C326" s="32"/>
      <c r="D326" s="32"/>
      <c r="E326" s="32"/>
      <c r="F326" s="32"/>
      <c r="G326" s="32"/>
      <c r="H326" s="32"/>
      <c r="I326" s="32"/>
      <c r="J326" s="32"/>
      <c r="K326" s="32"/>
      <c r="L326" s="44"/>
      <c r="N326" s="36"/>
      <c r="Y326" s="32"/>
      <c r="Z326" s="32"/>
    </row>
    <row r="327" spans="2:26" s="35" customFormat="1" ht="12.75">
      <c r="B327" s="44"/>
      <c r="C327" s="32"/>
      <c r="D327" s="32"/>
      <c r="E327" s="32"/>
      <c r="F327" s="32"/>
      <c r="G327" s="32"/>
      <c r="H327" s="32"/>
      <c r="I327" s="32"/>
      <c r="J327" s="32"/>
      <c r="K327" s="32"/>
      <c r="L327" s="44"/>
      <c r="N327" s="36"/>
      <c r="Y327" s="32"/>
      <c r="Z327" s="32"/>
    </row>
    <row r="328" spans="2:26" s="35" customFormat="1" ht="12.75">
      <c r="B328" s="44"/>
      <c r="C328" s="32"/>
      <c r="D328" s="32"/>
      <c r="E328" s="32"/>
      <c r="F328" s="32"/>
      <c r="G328" s="32"/>
      <c r="H328" s="32"/>
      <c r="I328" s="32"/>
      <c r="J328" s="32"/>
      <c r="K328" s="32"/>
      <c r="L328" s="44"/>
      <c r="N328" s="36"/>
      <c r="Y328" s="32"/>
      <c r="Z328" s="32"/>
    </row>
    <row r="329" spans="2:26" s="35" customFormat="1" ht="12.75">
      <c r="B329" s="44"/>
      <c r="C329" s="32"/>
      <c r="D329" s="32"/>
      <c r="E329" s="32"/>
      <c r="F329" s="32"/>
      <c r="G329" s="32"/>
      <c r="H329" s="32"/>
      <c r="I329" s="32"/>
      <c r="J329" s="32"/>
      <c r="K329" s="32"/>
      <c r="L329" s="44"/>
      <c r="N329" s="36"/>
      <c r="Y329" s="32"/>
      <c r="Z329" s="32"/>
    </row>
    <row r="330" spans="2:26" s="35" customFormat="1" ht="12.75">
      <c r="B330" s="44"/>
      <c r="C330" s="32"/>
      <c r="D330" s="32"/>
      <c r="E330" s="32"/>
      <c r="F330" s="32"/>
      <c r="G330" s="32"/>
      <c r="H330" s="32"/>
      <c r="I330" s="32"/>
      <c r="J330" s="32"/>
      <c r="K330" s="32"/>
      <c r="L330" s="44"/>
      <c r="N330" s="36"/>
      <c r="Y330" s="32"/>
      <c r="Z330" s="32"/>
    </row>
    <row r="331" spans="2:26" s="35" customFormat="1" ht="12.75">
      <c r="B331" s="44"/>
      <c r="C331" s="32"/>
      <c r="D331" s="32"/>
      <c r="E331" s="32"/>
      <c r="F331" s="32"/>
      <c r="G331" s="32"/>
      <c r="H331" s="32"/>
      <c r="I331" s="32"/>
      <c r="J331" s="32"/>
      <c r="K331" s="32"/>
      <c r="L331" s="44"/>
      <c r="N331" s="36"/>
      <c r="Y331" s="32"/>
      <c r="Z331" s="32"/>
    </row>
    <row r="332" spans="2:26" s="35" customFormat="1" ht="12.75">
      <c r="B332" s="44"/>
      <c r="C332" s="32"/>
      <c r="D332" s="32"/>
      <c r="E332" s="32"/>
      <c r="F332" s="32"/>
      <c r="G332" s="32"/>
      <c r="H332" s="32"/>
      <c r="I332" s="32"/>
      <c r="J332" s="32"/>
      <c r="K332" s="32"/>
      <c r="L332" s="44"/>
      <c r="N332" s="36"/>
      <c r="Y332" s="32"/>
      <c r="Z332" s="32"/>
    </row>
    <row r="333" spans="2:26" s="35" customFormat="1" ht="12.75">
      <c r="B333" s="44"/>
      <c r="C333" s="32"/>
      <c r="D333" s="32"/>
      <c r="E333" s="32"/>
      <c r="F333" s="32"/>
      <c r="G333" s="32"/>
      <c r="H333" s="32"/>
      <c r="I333" s="32"/>
      <c r="J333" s="32"/>
      <c r="K333" s="32"/>
      <c r="L333" s="44"/>
      <c r="N333" s="36"/>
      <c r="Y333" s="32"/>
      <c r="Z333" s="32"/>
    </row>
    <row r="334" spans="2:26" s="35" customFormat="1" ht="12.75">
      <c r="B334" s="44"/>
      <c r="C334" s="32"/>
      <c r="D334" s="32"/>
      <c r="E334" s="32"/>
      <c r="F334" s="32"/>
      <c r="G334" s="32"/>
      <c r="H334" s="32"/>
      <c r="I334" s="32"/>
      <c r="J334" s="32"/>
      <c r="K334" s="32"/>
      <c r="L334" s="44"/>
      <c r="N334" s="36"/>
      <c r="Y334" s="32"/>
      <c r="Z334" s="32"/>
    </row>
    <row r="335" spans="2:26" s="35" customFormat="1" ht="12.75">
      <c r="B335" s="44"/>
      <c r="C335" s="32"/>
      <c r="D335" s="32"/>
      <c r="E335" s="32"/>
      <c r="F335" s="32"/>
      <c r="G335" s="32"/>
      <c r="H335" s="32"/>
      <c r="I335" s="32"/>
      <c r="J335" s="32"/>
      <c r="K335" s="32"/>
      <c r="L335" s="44"/>
      <c r="N335" s="36"/>
      <c r="Y335" s="32"/>
      <c r="Z335" s="32"/>
    </row>
    <row r="336" spans="2:26" s="35" customFormat="1" ht="12.75">
      <c r="B336" s="44"/>
      <c r="C336" s="32"/>
      <c r="D336" s="32"/>
      <c r="E336" s="32"/>
      <c r="F336" s="32"/>
      <c r="G336" s="32"/>
      <c r="H336" s="32"/>
      <c r="I336" s="32"/>
      <c r="J336" s="32"/>
      <c r="K336" s="32"/>
      <c r="L336" s="44"/>
      <c r="N336" s="36"/>
      <c r="Y336" s="32"/>
      <c r="Z336" s="32"/>
    </row>
    <row r="337" spans="2:26" s="35" customFormat="1" ht="12.75">
      <c r="B337" s="44"/>
      <c r="C337" s="32"/>
      <c r="D337" s="32"/>
      <c r="E337" s="32"/>
      <c r="F337" s="32"/>
      <c r="G337" s="32"/>
      <c r="H337" s="32"/>
      <c r="I337" s="32"/>
      <c r="J337" s="32"/>
      <c r="K337" s="32"/>
      <c r="L337" s="44"/>
      <c r="N337" s="36"/>
      <c r="Y337" s="32"/>
      <c r="Z337" s="32"/>
    </row>
    <row r="338" spans="2:26" s="35" customFormat="1" ht="12.75">
      <c r="B338" s="44"/>
      <c r="C338" s="32"/>
      <c r="D338" s="32"/>
      <c r="E338" s="32"/>
      <c r="F338" s="32"/>
      <c r="G338" s="32"/>
      <c r="H338" s="32"/>
      <c r="I338" s="32"/>
      <c r="J338" s="32"/>
      <c r="K338" s="32"/>
      <c r="L338" s="44"/>
      <c r="N338" s="36"/>
      <c r="Y338" s="32"/>
      <c r="Z338" s="32"/>
    </row>
    <row r="339" spans="2:26" s="35" customFormat="1" ht="12.75">
      <c r="B339" s="44"/>
      <c r="C339" s="32"/>
      <c r="D339" s="32"/>
      <c r="E339" s="32"/>
      <c r="F339" s="32"/>
      <c r="G339" s="32"/>
      <c r="H339" s="32"/>
      <c r="I339" s="32"/>
      <c r="J339" s="32"/>
      <c r="K339" s="32"/>
      <c r="L339" s="44"/>
      <c r="N339" s="36"/>
      <c r="Y339" s="32"/>
      <c r="Z339" s="32"/>
    </row>
    <row r="340" spans="2:26" s="35" customFormat="1" ht="12.75">
      <c r="B340" s="44"/>
      <c r="C340" s="32"/>
      <c r="D340" s="32"/>
      <c r="E340" s="32"/>
      <c r="F340" s="32"/>
      <c r="G340" s="32"/>
      <c r="H340" s="32"/>
      <c r="I340" s="32"/>
      <c r="J340" s="32"/>
      <c r="K340" s="32"/>
      <c r="L340" s="44"/>
      <c r="N340" s="36"/>
      <c r="Y340" s="32"/>
      <c r="Z340" s="32"/>
    </row>
    <row r="341" spans="2:26" s="35" customFormat="1" ht="12.75">
      <c r="B341" s="44"/>
      <c r="C341" s="32"/>
      <c r="D341" s="32"/>
      <c r="E341" s="32"/>
      <c r="F341" s="32"/>
      <c r="G341" s="32"/>
      <c r="H341" s="32"/>
      <c r="I341" s="32"/>
      <c r="J341" s="32"/>
      <c r="K341" s="32"/>
      <c r="L341" s="44"/>
      <c r="N341" s="36"/>
      <c r="Y341" s="32"/>
      <c r="Z341" s="32"/>
    </row>
    <row r="342" spans="2:26" s="35" customFormat="1" ht="12.75">
      <c r="B342" s="44"/>
      <c r="C342" s="32"/>
      <c r="D342" s="32"/>
      <c r="E342" s="32"/>
      <c r="F342" s="32"/>
      <c r="G342" s="32"/>
      <c r="H342" s="32"/>
      <c r="I342" s="32"/>
      <c r="J342" s="32"/>
      <c r="K342" s="32"/>
      <c r="L342" s="44"/>
      <c r="N342" s="36"/>
      <c r="Y342" s="32"/>
      <c r="Z342" s="32"/>
    </row>
    <row r="343" spans="2:26" s="35" customFormat="1" ht="12.75">
      <c r="B343" s="44"/>
      <c r="C343" s="32"/>
      <c r="D343" s="32"/>
      <c r="E343" s="32"/>
      <c r="F343" s="32"/>
      <c r="G343" s="32"/>
      <c r="H343" s="32"/>
      <c r="I343" s="32"/>
      <c r="J343" s="32"/>
      <c r="K343" s="32"/>
      <c r="L343" s="44"/>
      <c r="N343" s="36"/>
      <c r="Y343" s="32"/>
      <c r="Z343" s="32"/>
    </row>
    <row r="344" spans="2:26" s="35" customFormat="1" ht="12.75">
      <c r="B344" s="44"/>
      <c r="C344" s="32"/>
      <c r="D344" s="32"/>
      <c r="E344" s="32"/>
      <c r="F344" s="32"/>
      <c r="G344" s="32"/>
      <c r="H344" s="32"/>
      <c r="I344" s="32"/>
      <c r="J344" s="32"/>
      <c r="K344" s="32"/>
      <c r="L344" s="44"/>
      <c r="N344" s="36"/>
      <c r="Y344" s="32"/>
      <c r="Z344" s="32"/>
    </row>
    <row r="345" spans="2:26" s="35" customFormat="1" ht="12.75">
      <c r="B345" s="44"/>
      <c r="C345" s="32"/>
      <c r="D345" s="32"/>
      <c r="E345" s="32"/>
      <c r="F345" s="32"/>
      <c r="G345" s="32"/>
      <c r="H345" s="32"/>
      <c r="I345" s="32"/>
      <c r="J345" s="32"/>
      <c r="K345" s="32"/>
      <c r="L345" s="44"/>
      <c r="N345" s="36"/>
      <c r="Y345" s="32"/>
      <c r="Z345" s="32"/>
    </row>
    <row r="346" spans="2:26" s="35" customFormat="1" ht="12.75">
      <c r="B346" s="44"/>
      <c r="C346" s="32"/>
      <c r="D346" s="32"/>
      <c r="E346" s="32"/>
      <c r="F346" s="32"/>
      <c r="G346" s="32"/>
      <c r="H346" s="32"/>
      <c r="I346" s="32"/>
      <c r="J346" s="32"/>
      <c r="K346" s="32"/>
      <c r="L346" s="44"/>
      <c r="N346" s="36"/>
      <c r="Y346" s="32"/>
      <c r="Z346" s="32"/>
    </row>
    <row r="347" spans="2:26" s="35" customFormat="1" ht="12.75">
      <c r="B347" s="44"/>
      <c r="C347" s="32"/>
      <c r="D347" s="32"/>
      <c r="E347" s="32"/>
      <c r="F347" s="32"/>
      <c r="G347" s="32"/>
      <c r="H347" s="32"/>
      <c r="I347" s="32"/>
      <c r="J347" s="32"/>
      <c r="K347" s="32"/>
      <c r="L347" s="44"/>
      <c r="N347" s="36"/>
      <c r="Y347" s="32"/>
      <c r="Z347" s="32"/>
    </row>
    <row r="348" spans="2:26" s="35" customFormat="1" ht="12.75">
      <c r="B348" s="44"/>
      <c r="C348" s="32"/>
      <c r="D348" s="32"/>
      <c r="E348" s="32"/>
      <c r="F348" s="32"/>
      <c r="G348" s="32"/>
      <c r="H348" s="32"/>
      <c r="I348" s="32"/>
      <c r="J348" s="32"/>
      <c r="K348" s="32"/>
      <c r="L348" s="44"/>
      <c r="N348" s="36"/>
      <c r="Y348" s="32"/>
      <c r="Z348" s="32"/>
    </row>
    <row r="349" spans="2:26" s="35" customFormat="1" ht="12.75">
      <c r="B349" s="44"/>
      <c r="C349" s="32"/>
      <c r="D349" s="32"/>
      <c r="E349" s="32"/>
      <c r="F349" s="32"/>
      <c r="G349" s="32"/>
      <c r="H349" s="32"/>
      <c r="I349" s="32"/>
      <c r="J349" s="32"/>
      <c r="K349" s="32"/>
      <c r="L349" s="44"/>
      <c r="N349" s="36"/>
      <c r="Y349" s="32"/>
      <c r="Z349" s="32"/>
    </row>
    <row r="350" spans="2:26" s="35" customFormat="1" ht="12.75">
      <c r="B350" s="44"/>
      <c r="C350" s="32"/>
      <c r="D350" s="32"/>
      <c r="E350" s="32"/>
      <c r="F350" s="32"/>
      <c r="G350" s="32"/>
      <c r="H350" s="32"/>
      <c r="I350" s="32"/>
      <c r="J350" s="32"/>
      <c r="K350" s="32"/>
      <c r="L350" s="44"/>
      <c r="N350" s="36"/>
      <c r="Y350" s="32"/>
      <c r="Z350" s="32"/>
    </row>
    <row r="351" spans="2:26" s="35" customFormat="1" ht="12.75">
      <c r="B351" s="44"/>
      <c r="C351" s="32"/>
      <c r="D351" s="32"/>
      <c r="E351" s="32"/>
      <c r="F351" s="32"/>
      <c r="G351" s="32"/>
      <c r="H351" s="32"/>
      <c r="I351" s="32"/>
      <c r="J351" s="32"/>
      <c r="K351" s="32"/>
      <c r="L351" s="44"/>
      <c r="N351" s="36"/>
      <c r="Y351" s="32"/>
      <c r="Z351" s="32"/>
    </row>
    <row r="352" spans="2:26" s="35" customFormat="1" ht="12.75">
      <c r="B352" s="44"/>
      <c r="C352" s="32"/>
      <c r="D352" s="32"/>
      <c r="E352" s="32"/>
      <c r="F352" s="32"/>
      <c r="G352" s="32"/>
      <c r="H352" s="32"/>
      <c r="I352" s="32"/>
      <c r="J352" s="32"/>
      <c r="K352" s="32"/>
      <c r="L352" s="44"/>
      <c r="N352" s="36"/>
      <c r="Y352" s="32"/>
      <c r="Z352" s="32"/>
    </row>
    <row r="353" spans="2:26" s="35" customFormat="1" ht="12.75">
      <c r="B353" s="44"/>
      <c r="C353" s="32"/>
      <c r="D353" s="32"/>
      <c r="E353" s="32"/>
      <c r="F353" s="32"/>
      <c r="G353" s="32"/>
      <c r="H353" s="32"/>
      <c r="I353" s="32"/>
      <c r="J353" s="32"/>
      <c r="K353" s="32"/>
      <c r="L353" s="44"/>
      <c r="N353" s="36"/>
      <c r="Y353" s="32"/>
      <c r="Z353" s="32"/>
    </row>
    <row r="354" spans="2:26" s="35" customFormat="1" ht="12.75">
      <c r="B354" s="44"/>
      <c r="C354" s="32"/>
      <c r="D354" s="32"/>
      <c r="E354" s="32"/>
      <c r="F354" s="32"/>
      <c r="G354" s="32"/>
      <c r="H354" s="32"/>
      <c r="I354" s="32"/>
      <c r="J354" s="32"/>
      <c r="K354" s="32"/>
      <c r="L354" s="44"/>
      <c r="N354" s="36"/>
      <c r="Y354" s="32"/>
      <c r="Z354" s="32"/>
    </row>
    <row r="355" spans="2:26" s="35" customFormat="1" ht="12.75">
      <c r="B355" s="44"/>
      <c r="C355" s="32"/>
      <c r="D355" s="32"/>
      <c r="E355" s="32"/>
      <c r="F355" s="32"/>
      <c r="G355" s="32"/>
      <c r="H355" s="32"/>
      <c r="I355" s="32"/>
      <c r="J355" s="32"/>
      <c r="K355" s="32"/>
      <c r="L355" s="44"/>
      <c r="N355" s="36"/>
      <c r="Y355" s="32"/>
      <c r="Z355" s="32"/>
    </row>
    <row r="356" spans="2:26" s="35" customFormat="1" ht="12.75">
      <c r="B356" s="44"/>
      <c r="C356" s="32"/>
      <c r="D356" s="32"/>
      <c r="E356" s="32"/>
      <c r="F356" s="32"/>
      <c r="G356" s="32"/>
      <c r="H356" s="32"/>
      <c r="I356" s="32"/>
      <c r="J356" s="32"/>
      <c r="K356" s="32"/>
      <c r="L356" s="44"/>
      <c r="N356" s="36"/>
      <c r="Y356" s="32"/>
      <c r="Z356" s="32"/>
    </row>
    <row r="357" spans="2:26" s="35" customFormat="1" ht="12.75">
      <c r="B357" s="44"/>
      <c r="C357" s="32"/>
      <c r="D357" s="32"/>
      <c r="E357" s="32"/>
      <c r="F357" s="32"/>
      <c r="G357" s="32"/>
      <c r="H357" s="32"/>
      <c r="I357" s="32"/>
      <c r="J357" s="32"/>
      <c r="K357" s="32"/>
      <c r="L357" s="44"/>
      <c r="N357" s="36"/>
      <c r="Y357" s="32"/>
      <c r="Z357" s="32"/>
    </row>
    <row r="358" spans="2:26" s="35" customFormat="1" ht="12.75">
      <c r="B358" s="44"/>
      <c r="C358" s="32"/>
      <c r="D358" s="32"/>
      <c r="E358" s="32"/>
      <c r="F358" s="32"/>
      <c r="G358" s="32"/>
      <c r="H358" s="32"/>
      <c r="I358" s="32"/>
      <c r="J358" s="32"/>
      <c r="K358" s="32"/>
      <c r="L358" s="44"/>
      <c r="N358" s="36"/>
      <c r="Y358" s="32"/>
      <c r="Z358" s="32"/>
    </row>
    <row r="359" spans="2:26" s="35" customFormat="1" ht="12.75">
      <c r="B359" s="44"/>
      <c r="C359" s="32"/>
      <c r="D359" s="32"/>
      <c r="E359" s="32"/>
      <c r="F359" s="32"/>
      <c r="G359" s="32"/>
      <c r="H359" s="32"/>
      <c r="I359" s="32"/>
      <c r="J359" s="32"/>
      <c r="K359" s="32"/>
      <c r="L359" s="44"/>
      <c r="N359" s="36"/>
      <c r="Y359" s="32"/>
      <c r="Z359" s="32"/>
    </row>
    <row r="360" spans="2:26" s="35" customFormat="1" ht="12.75">
      <c r="B360" s="44"/>
      <c r="C360" s="32"/>
      <c r="D360" s="32"/>
      <c r="E360" s="32"/>
      <c r="F360" s="32"/>
      <c r="G360" s="32"/>
      <c r="H360" s="32"/>
      <c r="I360" s="32"/>
      <c r="J360" s="32"/>
      <c r="K360" s="32"/>
      <c r="L360" s="44"/>
      <c r="N360" s="36"/>
      <c r="Y360" s="32"/>
      <c r="Z360" s="32"/>
    </row>
    <row r="361" spans="2:26" s="35" customFormat="1" ht="12.75">
      <c r="B361" s="44"/>
      <c r="C361" s="32"/>
      <c r="D361" s="32"/>
      <c r="E361" s="32"/>
      <c r="F361" s="32"/>
      <c r="G361" s="32"/>
      <c r="H361" s="32"/>
      <c r="I361" s="32"/>
      <c r="J361" s="32"/>
      <c r="K361" s="32"/>
      <c r="L361" s="44"/>
      <c r="N361" s="36"/>
      <c r="Y361" s="32"/>
      <c r="Z361" s="32"/>
    </row>
    <row r="362" spans="2:26" s="35" customFormat="1" ht="12.75">
      <c r="B362" s="44"/>
      <c r="C362" s="32"/>
      <c r="D362" s="32"/>
      <c r="E362" s="32"/>
      <c r="F362" s="32"/>
      <c r="G362" s="32"/>
      <c r="H362" s="32"/>
      <c r="I362" s="32"/>
      <c r="J362" s="32"/>
      <c r="K362" s="32"/>
      <c r="L362" s="44"/>
      <c r="N362" s="36"/>
      <c r="Y362" s="32"/>
      <c r="Z362" s="32"/>
    </row>
    <row r="363" spans="2:26" s="35" customFormat="1" ht="12.75">
      <c r="B363" s="44"/>
      <c r="C363" s="32"/>
      <c r="D363" s="32"/>
      <c r="E363" s="32"/>
      <c r="F363" s="32"/>
      <c r="G363" s="32"/>
      <c r="H363" s="32"/>
      <c r="I363" s="32"/>
      <c r="J363" s="32"/>
      <c r="K363" s="32"/>
      <c r="L363" s="44"/>
      <c r="N363" s="36"/>
      <c r="Y363" s="32"/>
      <c r="Z363" s="32"/>
    </row>
    <row r="364" spans="2:26" s="35" customFormat="1" ht="12.75">
      <c r="B364" s="44"/>
      <c r="C364" s="32"/>
      <c r="D364" s="32"/>
      <c r="E364" s="32"/>
      <c r="F364" s="32"/>
      <c r="G364" s="32"/>
      <c r="H364" s="32"/>
      <c r="I364" s="32"/>
      <c r="J364" s="32"/>
      <c r="K364" s="32"/>
      <c r="L364" s="44"/>
      <c r="N364" s="36"/>
      <c r="Y364" s="32"/>
      <c r="Z364" s="32"/>
    </row>
    <row r="365" spans="2:26" s="35" customFormat="1" ht="12.75">
      <c r="B365" s="44"/>
      <c r="C365" s="32"/>
      <c r="D365" s="32"/>
      <c r="E365" s="32"/>
      <c r="F365" s="32"/>
      <c r="G365" s="32"/>
      <c r="H365" s="32"/>
      <c r="I365" s="32"/>
      <c r="J365" s="32"/>
      <c r="K365" s="32"/>
      <c r="L365" s="44"/>
      <c r="N365" s="36"/>
      <c r="Y365" s="32"/>
      <c r="Z365" s="32"/>
    </row>
    <row r="366" spans="2:26" s="35" customFormat="1" ht="12.75">
      <c r="B366" s="44"/>
      <c r="C366" s="32"/>
      <c r="D366" s="32"/>
      <c r="E366" s="32"/>
      <c r="F366" s="32"/>
      <c r="G366" s="32"/>
      <c r="H366" s="32"/>
      <c r="I366" s="32"/>
      <c r="J366" s="32"/>
      <c r="K366" s="32"/>
      <c r="L366" s="44"/>
      <c r="N366" s="36"/>
      <c r="Y366" s="32"/>
      <c r="Z366" s="32"/>
    </row>
    <row r="367" spans="2:26" s="35" customFormat="1" ht="12.75">
      <c r="B367" s="44"/>
      <c r="C367" s="32"/>
      <c r="D367" s="32"/>
      <c r="E367" s="32"/>
      <c r="F367" s="32"/>
      <c r="G367" s="32"/>
      <c r="H367" s="32"/>
      <c r="I367" s="32"/>
      <c r="J367" s="32"/>
      <c r="K367" s="32"/>
      <c r="L367" s="44"/>
      <c r="N367" s="36"/>
      <c r="Y367" s="32"/>
      <c r="Z367" s="32"/>
    </row>
    <row r="368" spans="2:26" s="35" customFormat="1" ht="12.75">
      <c r="B368" s="44"/>
      <c r="C368" s="32"/>
      <c r="D368" s="32"/>
      <c r="E368" s="32"/>
      <c r="F368" s="32"/>
      <c r="G368" s="32"/>
      <c r="H368" s="32"/>
      <c r="I368" s="32"/>
      <c r="J368" s="32"/>
      <c r="K368" s="32"/>
      <c r="L368" s="44"/>
      <c r="N368" s="36"/>
      <c r="Y368" s="32"/>
      <c r="Z368" s="32"/>
    </row>
    <row r="369" spans="2:26" s="35" customFormat="1" ht="12.75">
      <c r="B369" s="44"/>
      <c r="C369" s="32"/>
      <c r="D369" s="32"/>
      <c r="E369" s="32"/>
      <c r="F369" s="32"/>
      <c r="G369" s="32"/>
      <c r="H369" s="32"/>
      <c r="I369" s="32"/>
      <c r="J369" s="32"/>
      <c r="K369" s="32"/>
      <c r="L369" s="44"/>
      <c r="N369" s="36"/>
      <c r="Y369" s="32"/>
      <c r="Z369" s="32"/>
    </row>
    <row r="370" spans="2:26" s="35" customFormat="1" ht="12.75">
      <c r="B370" s="44"/>
      <c r="C370" s="32"/>
      <c r="D370" s="32"/>
      <c r="E370" s="32"/>
      <c r="F370" s="32"/>
      <c r="G370" s="32"/>
      <c r="H370" s="32"/>
      <c r="I370" s="32"/>
      <c r="J370" s="32"/>
      <c r="K370" s="32"/>
      <c r="L370" s="44"/>
      <c r="N370" s="36"/>
      <c r="Y370" s="32"/>
      <c r="Z370" s="32"/>
    </row>
    <row r="371" spans="2:26" s="35" customFormat="1" ht="12.75">
      <c r="B371" s="44"/>
      <c r="C371" s="32"/>
      <c r="D371" s="32"/>
      <c r="E371" s="32"/>
      <c r="F371" s="32"/>
      <c r="G371" s="32"/>
      <c r="H371" s="32"/>
      <c r="I371" s="32"/>
      <c r="J371" s="32"/>
      <c r="K371" s="32"/>
      <c r="L371" s="44"/>
      <c r="N371" s="36"/>
      <c r="Y371" s="32"/>
      <c r="Z371" s="32"/>
    </row>
    <row r="372" spans="2:26" s="35" customFormat="1" ht="12.75">
      <c r="B372" s="44"/>
      <c r="C372" s="32"/>
      <c r="D372" s="32"/>
      <c r="E372" s="32"/>
      <c r="F372" s="32"/>
      <c r="G372" s="32"/>
      <c r="H372" s="32"/>
      <c r="I372" s="32"/>
      <c r="J372" s="32"/>
      <c r="K372" s="32"/>
      <c r="L372" s="44"/>
      <c r="N372" s="36"/>
      <c r="Y372" s="32"/>
      <c r="Z372" s="32"/>
    </row>
    <row r="373" spans="2:26" s="35" customFormat="1" ht="12.75">
      <c r="B373" s="44"/>
      <c r="C373" s="32"/>
      <c r="D373" s="32"/>
      <c r="E373" s="32"/>
      <c r="F373" s="32"/>
      <c r="G373" s="32"/>
      <c r="H373" s="32"/>
      <c r="I373" s="32"/>
      <c r="J373" s="32"/>
      <c r="K373" s="32"/>
      <c r="L373" s="44"/>
      <c r="N373" s="36"/>
      <c r="Y373" s="32"/>
      <c r="Z373" s="32"/>
    </row>
    <row r="374" spans="2:26" s="35" customFormat="1" ht="12.75">
      <c r="B374" s="44"/>
      <c r="C374" s="32"/>
      <c r="D374" s="32"/>
      <c r="E374" s="32"/>
      <c r="F374" s="32"/>
      <c r="G374" s="32"/>
      <c r="H374" s="32"/>
      <c r="I374" s="32"/>
      <c r="J374" s="32"/>
      <c r="K374" s="32"/>
      <c r="L374" s="44"/>
      <c r="N374" s="36"/>
      <c r="Y374" s="32"/>
      <c r="Z374" s="32"/>
    </row>
    <row r="375" spans="2:26" s="35" customFormat="1" ht="12.75">
      <c r="B375" s="44"/>
      <c r="C375" s="32"/>
      <c r="D375" s="32"/>
      <c r="E375" s="32"/>
      <c r="F375" s="32"/>
      <c r="G375" s="32"/>
      <c r="H375" s="32"/>
      <c r="I375" s="32"/>
      <c r="J375" s="32"/>
      <c r="K375" s="32"/>
      <c r="L375" s="44"/>
      <c r="N375" s="36"/>
      <c r="Y375" s="32"/>
      <c r="Z375" s="32"/>
    </row>
    <row r="376" spans="2:26" s="35" customFormat="1" ht="12.75">
      <c r="B376" s="44"/>
      <c r="C376" s="32"/>
      <c r="D376" s="32"/>
      <c r="E376" s="32"/>
      <c r="F376" s="32"/>
      <c r="G376" s="32"/>
      <c r="H376" s="32"/>
      <c r="I376" s="32"/>
      <c r="J376" s="32"/>
      <c r="K376" s="32"/>
      <c r="L376" s="44"/>
      <c r="N376" s="36"/>
      <c r="Y376" s="32"/>
      <c r="Z376" s="32"/>
    </row>
    <row r="377" spans="2:26" s="35" customFormat="1" ht="12.75">
      <c r="B377" s="44"/>
      <c r="C377" s="32"/>
      <c r="D377" s="32"/>
      <c r="E377" s="32"/>
      <c r="F377" s="32"/>
      <c r="G377" s="32"/>
      <c r="H377" s="32"/>
      <c r="I377" s="32"/>
      <c r="J377" s="32"/>
      <c r="K377" s="32"/>
      <c r="L377" s="44"/>
      <c r="N377" s="36"/>
      <c r="Y377" s="32"/>
      <c r="Z377" s="32"/>
    </row>
    <row r="378" spans="2:26" s="35" customFormat="1" ht="12.75">
      <c r="B378" s="44"/>
      <c r="C378" s="32"/>
      <c r="D378" s="32"/>
      <c r="E378" s="32"/>
      <c r="F378" s="32"/>
      <c r="G378" s="32"/>
      <c r="H378" s="32"/>
      <c r="I378" s="32"/>
      <c r="J378" s="32"/>
      <c r="K378" s="32"/>
      <c r="L378" s="44"/>
      <c r="N378" s="36"/>
      <c r="Y378" s="32"/>
      <c r="Z378" s="32"/>
    </row>
    <row r="379" spans="2:26" s="35" customFormat="1" ht="12.75">
      <c r="B379" s="44"/>
      <c r="C379" s="32"/>
      <c r="D379" s="32"/>
      <c r="E379" s="32"/>
      <c r="F379" s="32"/>
      <c r="G379" s="32"/>
      <c r="H379" s="32"/>
      <c r="I379" s="32"/>
      <c r="J379" s="32"/>
      <c r="K379" s="32"/>
      <c r="L379" s="44"/>
      <c r="N379" s="36"/>
      <c r="Y379" s="32"/>
      <c r="Z379" s="32"/>
    </row>
    <row r="380" spans="2:26" s="35" customFormat="1" ht="12.75">
      <c r="B380" s="44"/>
      <c r="C380" s="32"/>
      <c r="D380" s="32"/>
      <c r="E380" s="32"/>
      <c r="F380" s="32"/>
      <c r="G380" s="32"/>
      <c r="H380" s="32"/>
      <c r="I380" s="32"/>
      <c r="J380" s="32"/>
      <c r="K380" s="32"/>
      <c r="L380" s="44"/>
      <c r="N380" s="36"/>
      <c r="Y380" s="32"/>
      <c r="Z380" s="32"/>
    </row>
    <row r="381" spans="2:26" s="35" customFormat="1" ht="12.75">
      <c r="B381" s="44"/>
      <c r="C381" s="32"/>
      <c r="D381" s="32"/>
      <c r="E381" s="32"/>
      <c r="F381" s="32"/>
      <c r="G381" s="32"/>
      <c r="H381" s="32"/>
      <c r="I381" s="32"/>
      <c r="J381" s="32"/>
      <c r="K381" s="32"/>
      <c r="L381" s="44"/>
      <c r="N381" s="36"/>
      <c r="Y381" s="32"/>
      <c r="Z381" s="32"/>
    </row>
    <row r="382" spans="2:26" s="35" customFormat="1" ht="12.75">
      <c r="B382" s="44"/>
      <c r="C382" s="32"/>
      <c r="D382" s="32"/>
      <c r="E382" s="32"/>
      <c r="F382" s="32"/>
      <c r="G382" s="32"/>
      <c r="H382" s="32"/>
      <c r="I382" s="32"/>
      <c r="J382" s="32"/>
      <c r="K382" s="32"/>
      <c r="L382" s="44"/>
      <c r="N382" s="36"/>
      <c r="Y382" s="32"/>
      <c r="Z382" s="32"/>
    </row>
    <row r="383" spans="2:26" s="35" customFormat="1" ht="12.75">
      <c r="B383" s="44"/>
      <c r="C383" s="32"/>
      <c r="D383" s="32"/>
      <c r="E383" s="32"/>
      <c r="F383" s="32"/>
      <c r="G383" s="32"/>
      <c r="H383" s="32"/>
      <c r="I383" s="32"/>
      <c r="J383" s="32"/>
      <c r="K383" s="32"/>
      <c r="L383" s="44"/>
      <c r="N383" s="36"/>
      <c r="Y383" s="32"/>
      <c r="Z383" s="32"/>
    </row>
    <row r="384" spans="2:26" s="35" customFormat="1" ht="12.75">
      <c r="B384" s="44"/>
      <c r="C384" s="32"/>
      <c r="D384" s="32"/>
      <c r="E384" s="32"/>
      <c r="F384" s="32"/>
      <c r="G384" s="32"/>
      <c r="H384" s="32"/>
      <c r="I384" s="32"/>
      <c r="J384" s="32"/>
      <c r="K384" s="32"/>
      <c r="L384" s="44"/>
      <c r="N384" s="36"/>
      <c r="Y384" s="32"/>
      <c r="Z384" s="32"/>
    </row>
    <row r="385" spans="2:26" s="35" customFormat="1" ht="12.75">
      <c r="B385" s="44"/>
      <c r="C385" s="32"/>
      <c r="D385" s="32"/>
      <c r="E385" s="32"/>
      <c r="F385" s="32"/>
      <c r="G385" s="32"/>
      <c r="H385" s="32"/>
      <c r="I385" s="32"/>
      <c r="J385" s="32"/>
      <c r="K385" s="32"/>
      <c r="L385" s="44"/>
      <c r="N385" s="36"/>
      <c r="Y385" s="32"/>
      <c r="Z385" s="32"/>
    </row>
    <row r="386" spans="2:26" s="35" customFormat="1" ht="12.75">
      <c r="B386" s="44"/>
      <c r="C386" s="32"/>
      <c r="D386" s="32"/>
      <c r="E386" s="32"/>
      <c r="F386" s="32"/>
      <c r="G386" s="32"/>
      <c r="H386" s="32"/>
      <c r="I386" s="32"/>
      <c r="J386" s="32"/>
      <c r="K386" s="32"/>
      <c r="L386" s="44"/>
      <c r="N386" s="36"/>
      <c r="Y386" s="32"/>
      <c r="Z386" s="32"/>
    </row>
    <row r="387" spans="2:26" s="35" customFormat="1" ht="12.75">
      <c r="B387" s="44"/>
      <c r="C387" s="32"/>
      <c r="D387" s="32"/>
      <c r="E387" s="32"/>
      <c r="F387" s="32"/>
      <c r="G387" s="32"/>
      <c r="H387" s="32"/>
      <c r="I387" s="32"/>
      <c r="J387" s="32"/>
      <c r="K387" s="32"/>
      <c r="L387" s="44"/>
      <c r="N387" s="36"/>
      <c r="Y387" s="32"/>
      <c r="Z387" s="32"/>
    </row>
    <row r="388" spans="2:26" s="35" customFormat="1" ht="12.75">
      <c r="B388" s="44"/>
      <c r="C388" s="32"/>
      <c r="D388" s="32"/>
      <c r="E388" s="32"/>
      <c r="F388" s="32"/>
      <c r="G388" s="32"/>
      <c r="H388" s="32"/>
      <c r="I388" s="32"/>
      <c r="J388" s="32"/>
      <c r="K388" s="32"/>
      <c r="L388" s="44"/>
      <c r="N388" s="36"/>
      <c r="Y388" s="32"/>
      <c r="Z388" s="32"/>
    </row>
    <row r="389" spans="2:26" s="35" customFormat="1" ht="12.75">
      <c r="B389" s="44"/>
      <c r="C389" s="32"/>
      <c r="D389" s="32"/>
      <c r="E389" s="32"/>
      <c r="F389" s="32"/>
      <c r="G389" s="32"/>
      <c r="H389" s="32"/>
      <c r="I389" s="32"/>
      <c r="J389" s="32"/>
      <c r="K389" s="32"/>
      <c r="L389" s="44"/>
      <c r="N389" s="36"/>
      <c r="Y389" s="32"/>
      <c r="Z389" s="32"/>
    </row>
    <row r="390" spans="2:26" s="35" customFormat="1" ht="12.75">
      <c r="B390" s="44"/>
      <c r="C390" s="32"/>
      <c r="D390" s="32"/>
      <c r="E390" s="32"/>
      <c r="F390" s="32"/>
      <c r="G390" s="32"/>
      <c r="H390" s="32"/>
      <c r="I390" s="32"/>
      <c r="J390" s="32"/>
      <c r="K390" s="32"/>
      <c r="L390" s="44"/>
      <c r="N390" s="36"/>
      <c r="Y390" s="32"/>
      <c r="Z390" s="32"/>
    </row>
    <row r="391" spans="2:26" s="35" customFormat="1" ht="12.75">
      <c r="B391" s="44"/>
      <c r="C391" s="32"/>
      <c r="D391" s="32"/>
      <c r="E391" s="32"/>
      <c r="F391" s="32"/>
      <c r="G391" s="32"/>
      <c r="H391" s="32"/>
      <c r="I391" s="32"/>
      <c r="J391" s="32"/>
      <c r="K391" s="32"/>
      <c r="L391" s="44"/>
      <c r="N391" s="36"/>
      <c r="Y391" s="32"/>
      <c r="Z391" s="32"/>
    </row>
    <row r="392" spans="2:26" s="35" customFormat="1" ht="12.75">
      <c r="B392" s="44"/>
      <c r="C392" s="32"/>
      <c r="D392" s="32"/>
      <c r="E392" s="32"/>
      <c r="F392" s="32"/>
      <c r="G392" s="32"/>
      <c r="H392" s="32"/>
      <c r="I392" s="32"/>
      <c r="J392" s="32"/>
      <c r="K392" s="32"/>
      <c r="L392" s="44"/>
      <c r="N392" s="36"/>
      <c r="Y392" s="32"/>
      <c r="Z392" s="32"/>
    </row>
    <row r="393" spans="2:26" s="35" customFormat="1" ht="12.75">
      <c r="B393" s="44"/>
      <c r="C393" s="32"/>
      <c r="D393" s="32"/>
      <c r="E393" s="32"/>
      <c r="F393" s="32"/>
      <c r="G393" s="32"/>
      <c r="H393" s="32"/>
      <c r="I393" s="32"/>
      <c r="J393" s="32"/>
      <c r="K393" s="32"/>
      <c r="L393" s="44"/>
      <c r="N393" s="36"/>
      <c r="Y393" s="32"/>
      <c r="Z393" s="32"/>
    </row>
    <row r="394" spans="2:26" s="35" customFormat="1" ht="12.75">
      <c r="B394" s="44"/>
      <c r="C394" s="32"/>
      <c r="D394" s="32"/>
      <c r="E394" s="32"/>
      <c r="F394" s="32"/>
      <c r="G394" s="32"/>
      <c r="H394" s="32"/>
      <c r="I394" s="32"/>
      <c r="J394" s="32"/>
      <c r="K394" s="32"/>
      <c r="L394" s="44"/>
      <c r="N394" s="36"/>
      <c r="Y394" s="32"/>
      <c r="Z394" s="32"/>
    </row>
    <row r="395" spans="2:26" s="35" customFormat="1" ht="12.75">
      <c r="B395" s="44"/>
      <c r="C395" s="32"/>
      <c r="D395" s="32"/>
      <c r="E395" s="32"/>
      <c r="F395" s="32"/>
      <c r="G395" s="32"/>
      <c r="H395" s="32"/>
      <c r="I395" s="32"/>
      <c r="J395" s="32"/>
      <c r="K395" s="32"/>
      <c r="L395" s="44"/>
      <c r="N395" s="36"/>
      <c r="Y395" s="32"/>
      <c r="Z395" s="32"/>
    </row>
    <row r="396" spans="2:26" s="35" customFormat="1" ht="12.75">
      <c r="B396" s="44"/>
      <c r="C396" s="32"/>
      <c r="D396" s="32"/>
      <c r="E396" s="32"/>
      <c r="F396" s="32"/>
      <c r="G396" s="32"/>
      <c r="H396" s="32"/>
      <c r="I396" s="32"/>
      <c r="J396" s="32"/>
      <c r="K396" s="32"/>
      <c r="L396" s="44"/>
      <c r="N396" s="36"/>
      <c r="Y396" s="32"/>
      <c r="Z396" s="32"/>
    </row>
    <row r="397" spans="2:26" s="35" customFormat="1" ht="12.75">
      <c r="B397" s="44"/>
      <c r="C397" s="32"/>
      <c r="D397" s="32"/>
      <c r="E397" s="32"/>
      <c r="F397" s="32"/>
      <c r="G397" s="32"/>
      <c r="H397" s="32"/>
      <c r="I397" s="32"/>
      <c r="J397" s="32"/>
      <c r="K397" s="32"/>
      <c r="L397" s="44"/>
      <c r="N397" s="36"/>
      <c r="Y397" s="32"/>
      <c r="Z397" s="32"/>
    </row>
    <row r="398" spans="2:26" s="35" customFormat="1" ht="12.75">
      <c r="B398" s="44"/>
      <c r="C398" s="32"/>
      <c r="D398" s="32"/>
      <c r="E398" s="32"/>
      <c r="F398" s="32"/>
      <c r="G398" s="32"/>
      <c r="H398" s="32"/>
      <c r="I398" s="32"/>
      <c r="J398" s="32"/>
      <c r="K398" s="32"/>
      <c r="L398" s="44"/>
      <c r="N398" s="36"/>
      <c r="Y398" s="32"/>
      <c r="Z398" s="32"/>
    </row>
    <row r="399" spans="2:26" s="35" customFormat="1" ht="12.75">
      <c r="B399" s="44"/>
      <c r="C399" s="32"/>
      <c r="D399" s="32"/>
      <c r="E399" s="32"/>
      <c r="F399" s="32"/>
      <c r="G399" s="32"/>
      <c r="H399" s="32"/>
      <c r="I399" s="32"/>
      <c r="J399" s="32"/>
      <c r="K399" s="32"/>
      <c r="L399" s="44"/>
      <c r="N399" s="36"/>
      <c r="Y399" s="32"/>
      <c r="Z399" s="32"/>
    </row>
    <row r="400" spans="2:26" s="35" customFormat="1" ht="12.75">
      <c r="B400" s="44"/>
      <c r="C400" s="32"/>
      <c r="D400" s="32"/>
      <c r="E400" s="32"/>
      <c r="F400" s="32"/>
      <c r="G400" s="32"/>
      <c r="H400" s="32"/>
      <c r="I400" s="32"/>
      <c r="J400" s="32"/>
      <c r="K400" s="32"/>
      <c r="L400" s="44"/>
      <c r="N400" s="36"/>
      <c r="Y400" s="32"/>
      <c r="Z400" s="32"/>
    </row>
    <row r="401" spans="2:26" s="35" customFormat="1" ht="12.75">
      <c r="B401" s="44"/>
      <c r="C401" s="32"/>
      <c r="D401" s="32"/>
      <c r="E401" s="32"/>
      <c r="F401" s="32"/>
      <c r="G401" s="32"/>
      <c r="H401" s="32"/>
      <c r="I401" s="32"/>
      <c r="J401" s="32"/>
      <c r="K401" s="32"/>
      <c r="L401" s="44"/>
      <c r="N401" s="36"/>
      <c r="Y401" s="32"/>
      <c r="Z401" s="32"/>
    </row>
    <row r="402" spans="2:26" s="35" customFormat="1" ht="12.75">
      <c r="B402" s="44"/>
      <c r="C402" s="32"/>
      <c r="D402" s="32"/>
      <c r="E402" s="32"/>
      <c r="F402" s="32"/>
      <c r="G402" s="32"/>
      <c r="H402" s="32"/>
      <c r="I402" s="32"/>
      <c r="J402" s="32"/>
      <c r="K402" s="32"/>
      <c r="L402" s="44"/>
      <c r="N402" s="36"/>
      <c r="Y402" s="32"/>
      <c r="Z402" s="32"/>
    </row>
    <row r="403" spans="2:26" s="35" customFormat="1" ht="12.75">
      <c r="B403" s="44"/>
      <c r="C403" s="32"/>
      <c r="D403" s="32"/>
      <c r="E403" s="32"/>
      <c r="F403" s="32"/>
      <c r="G403" s="32"/>
      <c r="H403" s="32"/>
      <c r="I403" s="32"/>
      <c r="J403" s="32"/>
      <c r="K403" s="32"/>
      <c r="L403" s="44"/>
      <c r="N403" s="36"/>
      <c r="Y403" s="32"/>
      <c r="Z403" s="32"/>
    </row>
    <row r="404" spans="2:26" s="35" customFormat="1" ht="12.75">
      <c r="B404" s="44"/>
      <c r="C404" s="32"/>
      <c r="D404" s="32"/>
      <c r="E404" s="32"/>
      <c r="F404" s="32"/>
      <c r="G404" s="32"/>
      <c r="H404" s="32"/>
      <c r="I404" s="32"/>
      <c r="J404" s="32"/>
      <c r="K404" s="32"/>
      <c r="L404" s="44"/>
      <c r="N404" s="36"/>
      <c r="Y404" s="32"/>
      <c r="Z404" s="32"/>
    </row>
    <row r="405" spans="2:26" s="35" customFormat="1" ht="12.75">
      <c r="B405" s="44"/>
      <c r="C405" s="32"/>
      <c r="D405" s="32"/>
      <c r="E405" s="32"/>
      <c r="F405" s="32"/>
      <c r="G405" s="32"/>
      <c r="H405" s="32"/>
      <c r="I405" s="32"/>
      <c r="J405" s="32"/>
      <c r="K405" s="32"/>
      <c r="L405" s="44"/>
      <c r="N405" s="36"/>
      <c r="Y405" s="32"/>
      <c r="Z405" s="32"/>
    </row>
    <row r="406" spans="2:26" s="35" customFormat="1" ht="12.75">
      <c r="B406" s="44"/>
      <c r="C406" s="32"/>
      <c r="D406" s="32"/>
      <c r="E406" s="32"/>
      <c r="F406" s="32"/>
      <c r="G406" s="32"/>
      <c r="H406" s="32"/>
      <c r="I406" s="32"/>
      <c r="J406" s="32"/>
      <c r="K406" s="32"/>
      <c r="L406" s="44"/>
      <c r="N406" s="36"/>
      <c r="Y406" s="32"/>
      <c r="Z406" s="32"/>
    </row>
    <row r="407" spans="2:26" s="35" customFormat="1" ht="12.75">
      <c r="B407" s="44"/>
      <c r="C407" s="32"/>
      <c r="D407" s="32"/>
      <c r="E407" s="32"/>
      <c r="F407" s="32"/>
      <c r="G407" s="32"/>
      <c r="H407" s="32"/>
      <c r="I407" s="32"/>
      <c r="J407" s="32"/>
      <c r="K407" s="32"/>
      <c r="L407" s="44"/>
      <c r="N407" s="36"/>
      <c r="Y407" s="32"/>
      <c r="Z407" s="32"/>
    </row>
    <row r="408" spans="2:26" s="35" customFormat="1" ht="12.75">
      <c r="B408" s="44"/>
      <c r="C408" s="32"/>
      <c r="D408" s="32"/>
      <c r="E408" s="32"/>
      <c r="F408" s="32"/>
      <c r="G408" s="32"/>
      <c r="H408" s="32"/>
      <c r="I408" s="32"/>
      <c r="J408" s="32"/>
      <c r="K408" s="32"/>
      <c r="L408" s="44"/>
      <c r="N408" s="36"/>
      <c r="Y408" s="32"/>
      <c r="Z408" s="32"/>
    </row>
    <row r="409" spans="2:26" s="35" customFormat="1" ht="12.75">
      <c r="B409" s="44"/>
      <c r="C409" s="32"/>
      <c r="D409" s="32"/>
      <c r="E409" s="32"/>
      <c r="F409" s="32"/>
      <c r="G409" s="32"/>
      <c r="H409" s="32"/>
      <c r="I409" s="32"/>
      <c r="J409" s="32"/>
      <c r="K409" s="32"/>
      <c r="L409" s="44"/>
      <c r="N409" s="36"/>
      <c r="Y409" s="32"/>
      <c r="Z409" s="32"/>
    </row>
    <row r="410" spans="2:26" s="35" customFormat="1" ht="12.75">
      <c r="B410" s="44"/>
      <c r="C410" s="32"/>
      <c r="D410" s="32"/>
      <c r="E410" s="32"/>
      <c r="F410" s="32"/>
      <c r="G410" s="32"/>
      <c r="H410" s="32"/>
      <c r="I410" s="32"/>
      <c r="J410" s="32"/>
      <c r="K410" s="32"/>
      <c r="L410" s="44"/>
      <c r="N410" s="36"/>
      <c r="Y410" s="32"/>
      <c r="Z410" s="32"/>
    </row>
    <row r="411" spans="2:26" s="35" customFormat="1" ht="12.75">
      <c r="B411" s="44"/>
      <c r="C411" s="32"/>
      <c r="D411" s="32"/>
      <c r="E411" s="32"/>
      <c r="F411" s="32"/>
      <c r="G411" s="32"/>
      <c r="H411" s="32"/>
      <c r="I411" s="32"/>
      <c r="J411" s="32"/>
      <c r="K411" s="32"/>
      <c r="L411" s="44"/>
      <c r="N411" s="36"/>
      <c r="Y411" s="32"/>
      <c r="Z411" s="32"/>
    </row>
    <row r="412" spans="2:26" s="35" customFormat="1" ht="12.75">
      <c r="B412" s="44"/>
      <c r="C412" s="32"/>
      <c r="D412" s="32"/>
      <c r="E412" s="32"/>
      <c r="F412" s="32"/>
      <c r="G412" s="32"/>
      <c r="H412" s="32"/>
      <c r="I412" s="32"/>
      <c r="J412" s="32"/>
      <c r="K412" s="32"/>
      <c r="L412" s="44"/>
      <c r="N412" s="36"/>
      <c r="Y412" s="32"/>
      <c r="Z412" s="32"/>
    </row>
    <row r="413" spans="2:26" s="35" customFormat="1" ht="12.75">
      <c r="B413" s="44"/>
      <c r="C413" s="32"/>
      <c r="D413" s="32"/>
      <c r="E413" s="32"/>
      <c r="F413" s="32"/>
      <c r="G413" s="32"/>
      <c r="H413" s="32"/>
      <c r="I413" s="32"/>
      <c r="J413" s="32"/>
      <c r="K413" s="32"/>
      <c r="L413" s="44"/>
      <c r="N413" s="36"/>
      <c r="Y413" s="32"/>
      <c r="Z413" s="32"/>
    </row>
    <row r="414" spans="2:26" s="35" customFormat="1" ht="12.75">
      <c r="B414" s="44"/>
      <c r="C414" s="32"/>
      <c r="D414" s="32"/>
      <c r="E414" s="32"/>
      <c r="F414" s="32"/>
      <c r="G414" s="32"/>
      <c r="H414" s="32"/>
      <c r="I414" s="32"/>
      <c r="J414" s="32"/>
      <c r="K414" s="32"/>
      <c r="L414" s="44"/>
      <c r="N414" s="36"/>
      <c r="Y414" s="32"/>
      <c r="Z414" s="32"/>
    </row>
    <row r="415" spans="2:26" s="35" customFormat="1" ht="12.75">
      <c r="B415" s="44"/>
      <c r="C415" s="32"/>
      <c r="D415" s="32"/>
      <c r="E415" s="32"/>
      <c r="F415" s="32"/>
      <c r="G415" s="32"/>
      <c r="H415" s="32"/>
      <c r="I415" s="32"/>
      <c r="J415" s="32"/>
      <c r="K415" s="32"/>
      <c r="L415" s="44"/>
      <c r="N415" s="36"/>
      <c r="Y415" s="32"/>
      <c r="Z415" s="32"/>
    </row>
    <row r="416" spans="2:26" s="35" customFormat="1" ht="12.75">
      <c r="B416" s="44"/>
      <c r="C416" s="32"/>
      <c r="D416" s="32"/>
      <c r="E416" s="32"/>
      <c r="F416" s="32"/>
      <c r="G416" s="32"/>
      <c r="H416" s="32"/>
      <c r="I416" s="32"/>
      <c r="J416" s="32"/>
      <c r="K416" s="32"/>
      <c r="L416" s="44"/>
      <c r="N416" s="36"/>
      <c r="Y416" s="32"/>
      <c r="Z416" s="32"/>
    </row>
    <row r="417" spans="2:26" s="35" customFormat="1" ht="12.75">
      <c r="B417" s="44"/>
      <c r="C417" s="32"/>
      <c r="D417" s="32"/>
      <c r="E417" s="32"/>
      <c r="F417" s="32"/>
      <c r="G417" s="32"/>
      <c r="H417" s="32"/>
      <c r="I417" s="32"/>
      <c r="J417" s="32"/>
      <c r="K417" s="32"/>
      <c r="L417" s="44"/>
      <c r="N417" s="36"/>
      <c r="Y417" s="32"/>
      <c r="Z417" s="32"/>
    </row>
    <row r="418" spans="2:26" s="35" customFormat="1" ht="12.75">
      <c r="B418" s="44"/>
      <c r="C418" s="32"/>
      <c r="D418" s="32"/>
      <c r="E418" s="32"/>
      <c r="F418" s="32"/>
      <c r="G418" s="32"/>
      <c r="H418" s="32"/>
      <c r="I418" s="32"/>
      <c r="J418" s="32"/>
      <c r="K418" s="32"/>
      <c r="L418" s="44"/>
      <c r="N418" s="36"/>
      <c r="Y418" s="32"/>
      <c r="Z418" s="32"/>
    </row>
    <row r="419" spans="2:26" s="35" customFormat="1" ht="12.75">
      <c r="B419" s="44"/>
      <c r="C419" s="32"/>
      <c r="D419" s="32"/>
      <c r="E419" s="32"/>
      <c r="F419" s="32"/>
      <c r="G419" s="32"/>
      <c r="H419" s="32"/>
      <c r="I419" s="32"/>
      <c r="J419" s="32"/>
      <c r="K419" s="32"/>
      <c r="L419" s="44"/>
      <c r="N419" s="36"/>
      <c r="Y419" s="32"/>
      <c r="Z419" s="32"/>
    </row>
    <row r="420" spans="2:26" s="35" customFormat="1" ht="12.75">
      <c r="B420" s="44"/>
      <c r="C420" s="32"/>
      <c r="D420" s="32"/>
      <c r="E420" s="32"/>
      <c r="F420" s="32"/>
      <c r="G420" s="32"/>
      <c r="H420" s="32"/>
      <c r="I420" s="32"/>
      <c r="J420" s="32"/>
      <c r="K420" s="32"/>
      <c r="L420" s="44"/>
      <c r="N420" s="36"/>
      <c r="Y420" s="32"/>
      <c r="Z420" s="32"/>
    </row>
    <row r="421" spans="2:26" s="35" customFormat="1" ht="12.75">
      <c r="B421" s="44"/>
      <c r="C421" s="32"/>
      <c r="D421" s="32"/>
      <c r="E421" s="32"/>
      <c r="F421" s="32"/>
      <c r="G421" s="32"/>
      <c r="H421" s="32"/>
      <c r="I421" s="32"/>
      <c r="J421" s="32"/>
      <c r="K421" s="32"/>
      <c r="L421" s="44"/>
      <c r="N421" s="36"/>
      <c r="Y421" s="32"/>
      <c r="Z421" s="32"/>
    </row>
    <row r="422" spans="2:26" s="35" customFormat="1" ht="12.75">
      <c r="B422" s="44"/>
      <c r="C422" s="32"/>
      <c r="D422" s="32"/>
      <c r="E422" s="32"/>
      <c r="F422" s="32"/>
      <c r="G422" s="32"/>
      <c r="H422" s="32"/>
      <c r="I422" s="32"/>
      <c r="J422" s="32"/>
      <c r="K422" s="32"/>
      <c r="L422" s="44"/>
      <c r="N422" s="36"/>
      <c r="Y422" s="32"/>
      <c r="Z422" s="32"/>
    </row>
    <row r="423" spans="2:26" s="35" customFormat="1" ht="12.75">
      <c r="B423" s="44"/>
      <c r="C423" s="32"/>
      <c r="D423" s="32"/>
      <c r="E423" s="32"/>
      <c r="F423" s="32"/>
      <c r="G423" s="32"/>
      <c r="H423" s="32"/>
      <c r="I423" s="32"/>
      <c r="J423" s="32"/>
      <c r="K423" s="32"/>
      <c r="L423" s="44"/>
      <c r="N423" s="36"/>
      <c r="Y423" s="32"/>
      <c r="Z423" s="32"/>
    </row>
    <row r="424" spans="2:26" s="35" customFormat="1" ht="12.75">
      <c r="B424" s="44"/>
      <c r="C424" s="32"/>
      <c r="D424" s="32"/>
      <c r="E424" s="32"/>
      <c r="F424" s="32"/>
      <c r="G424" s="32"/>
      <c r="H424" s="32"/>
      <c r="I424" s="32"/>
      <c r="J424" s="32"/>
      <c r="K424" s="32"/>
      <c r="L424" s="44"/>
      <c r="N424" s="36"/>
      <c r="Y424" s="32"/>
      <c r="Z424" s="32"/>
    </row>
    <row r="425" spans="2:26" s="35" customFormat="1" ht="12.75">
      <c r="B425" s="44"/>
      <c r="C425" s="32"/>
      <c r="D425" s="32"/>
      <c r="E425" s="32"/>
      <c r="F425" s="32"/>
      <c r="G425" s="32"/>
      <c r="H425" s="32"/>
      <c r="I425" s="32"/>
      <c r="J425" s="32"/>
      <c r="K425" s="32"/>
      <c r="L425" s="44"/>
      <c r="N425" s="36"/>
      <c r="Y425" s="32"/>
      <c r="Z425" s="32"/>
    </row>
    <row r="426" spans="2:26" s="35" customFormat="1" ht="12.75">
      <c r="B426" s="44"/>
      <c r="C426" s="32"/>
      <c r="D426" s="32"/>
      <c r="E426" s="32"/>
      <c r="F426" s="32"/>
      <c r="G426" s="32"/>
      <c r="H426" s="32"/>
      <c r="I426" s="32"/>
      <c r="J426" s="32"/>
      <c r="K426" s="32"/>
      <c r="L426" s="44"/>
      <c r="N426" s="36"/>
      <c r="Y426" s="32"/>
      <c r="Z426" s="32"/>
    </row>
    <row r="427" spans="2:26" s="35" customFormat="1" ht="12.75">
      <c r="B427" s="44"/>
      <c r="C427" s="32"/>
      <c r="D427" s="32"/>
      <c r="E427" s="32"/>
      <c r="F427" s="32"/>
      <c r="G427" s="32"/>
      <c r="H427" s="32"/>
      <c r="I427" s="32"/>
      <c r="J427" s="32"/>
      <c r="K427" s="32"/>
      <c r="L427" s="44"/>
      <c r="N427" s="36"/>
      <c r="Y427" s="32"/>
      <c r="Z427" s="32"/>
    </row>
    <row r="428" spans="2:26" s="35" customFormat="1" ht="12.75">
      <c r="B428" s="44"/>
      <c r="C428" s="32"/>
      <c r="D428" s="32"/>
      <c r="E428" s="32"/>
      <c r="F428" s="32"/>
      <c r="G428" s="32"/>
      <c r="H428" s="32"/>
      <c r="I428" s="32"/>
      <c r="J428" s="32"/>
      <c r="K428" s="32"/>
      <c r="L428" s="44"/>
      <c r="N428" s="36"/>
      <c r="Y428" s="32"/>
      <c r="Z428" s="32"/>
    </row>
    <row r="429" spans="2:26" s="35" customFormat="1" ht="12.75">
      <c r="B429" s="44"/>
      <c r="C429" s="32"/>
      <c r="D429" s="32"/>
      <c r="E429" s="32"/>
      <c r="F429" s="32"/>
      <c r="G429" s="32"/>
      <c r="H429" s="32"/>
      <c r="I429" s="32"/>
      <c r="J429" s="32"/>
      <c r="K429" s="32"/>
      <c r="L429" s="44"/>
      <c r="N429" s="36"/>
      <c r="Y429" s="32"/>
      <c r="Z429" s="32"/>
    </row>
    <row r="430" spans="2:26" s="35" customFormat="1" ht="12.75">
      <c r="B430" s="44"/>
      <c r="C430" s="32"/>
      <c r="D430" s="32"/>
      <c r="E430" s="32"/>
      <c r="F430" s="32"/>
      <c r="G430" s="32"/>
      <c r="H430" s="32"/>
      <c r="I430" s="32"/>
      <c r="J430" s="32"/>
      <c r="K430" s="32"/>
      <c r="L430" s="44"/>
      <c r="N430" s="36"/>
      <c r="Y430" s="32"/>
      <c r="Z430" s="32"/>
    </row>
    <row r="431" spans="2:26" s="35" customFormat="1" ht="12.75">
      <c r="B431" s="44"/>
      <c r="C431" s="32"/>
      <c r="D431" s="32"/>
      <c r="E431" s="32"/>
      <c r="F431" s="32"/>
      <c r="G431" s="32"/>
      <c r="H431" s="32"/>
      <c r="I431" s="32"/>
      <c r="J431" s="32"/>
      <c r="K431" s="32"/>
      <c r="L431" s="44"/>
      <c r="N431" s="36"/>
      <c r="Y431" s="32"/>
      <c r="Z431" s="32"/>
    </row>
    <row r="432" spans="2:26" s="35" customFormat="1" ht="12.75">
      <c r="B432" s="44"/>
      <c r="C432" s="32"/>
      <c r="D432" s="32"/>
      <c r="E432" s="32"/>
      <c r="F432" s="32"/>
      <c r="G432" s="32"/>
      <c r="H432" s="32"/>
      <c r="I432" s="32"/>
      <c r="J432" s="32"/>
      <c r="K432" s="32"/>
      <c r="L432" s="44"/>
      <c r="N432" s="36"/>
      <c r="Y432" s="32"/>
      <c r="Z432" s="32"/>
    </row>
    <row r="433" spans="2:26" s="35" customFormat="1" ht="12.75">
      <c r="B433" s="44"/>
      <c r="C433" s="32"/>
      <c r="D433" s="32"/>
      <c r="E433" s="32"/>
      <c r="F433" s="32"/>
      <c r="G433" s="32"/>
      <c r="H433" s="32"/>
      <c r="I433" s="32"/>
      <c r="J433" s="32"/>
      <c r="K433" s="32"/>
      <c r="L433" s="44"/>
      <c r="N433" s="36"/>
      <c r="Y433" s="32"/>
      <c r="Z433" s="32"/>
    </row>
    <row r="434" spans="2:26" s="35" customFormat="1" ht="12.75">
      <c r="B434" s="44"/>
      <c r="C434" s="32"/>
      <c r="D434" s="32"/>
      <c r="E434" s="32"/>
      <c r="F434" s="32"/>
      <c r="G434" s="32"/>
      <c r="H434" s="32"/>
      <c r="I434" s="32"/>
      <c r="J434" s="32"/>
      <c r="K434" s="32"/>
      <c r="L434" s="44"/>
      <c r="N434" s="36"/>
      <c r="Y434" s="32"/>
      <c r="Z434" s="32"/>
    </row>
    <row r="435" spans="2:26" s="35" customFormat="1" ht="12.75">
      <c r="B435" s="44"/>
      <c r="C435" s="32"/>
      <c r="D435" s="32"/>
      <c r="E435" s="32"/>
      <c r="F435" s="32"/>
      <c r="G435" s="32"/>
      <c r="H435" s="32"/>
      <c r="I435" s="32"/>
      <c r="J435" s="32"/>
      <c r="K435" s="32"/>
      <c r="L435" s="44"/>
      <c r="N435" s="36"/>
      <c r="Y435" s="32"/>
      <c r="Z435" s="32"/>
    </row>
    <row r="436" spans="2:26" s="35" customFormat="1" ht="12.75">
      <c r="B436" s="44"/>
      <c r="C436" s="32"/>
      <c r="D436" s="32"/>
      <c r="E436" s="32"/>
      <c r="F436" s="32"/>
      <c r="G436" s="32"/>
      <c r="H436" s="32"/>
      <c r="I436" s="32"/>
      <c r="J436" s="32"/>
      <c r="K436" s="32"/>
      <c r="L436" s="44"/>
      <c r="N436" s="36"/>
      <c r="Y436" s="32"/>
      <c r="Z436" s="32"/>
    </row>
    <row r="437" spans="2:26" s="35" customFormat="1" ht="12.75">
      <c r="B437" s="44"/>
      <c r="C437" s="32"/>
      <c r="D437" s="32"/>
      <c r="E437" s="32"/>
      <c r="F437" s="32"/>
      <c r="G437" s="32"/>
      <c r="H437" s="32"/>
      <c r="I437" s="32"/>
      <c r="J437" s="32"/>
      <c r="K437" s="32"/>
      <c r="L437" s="44"/>
      <c r="N437" s="36"/>
      <c r="Y437" s="32"/>
      <c r="Z437" s="32"/>
    </row>
    <row r="438" spans="2:26" s="35" customFormat="1" ht="12.75">
      <c r="B438" s="44"/>
      <c r="C438" s="32"/>
      <c r="D438" s="32"/>
      <c r="E438" s="32"/>
      <c r="F438" s="32"/>
      <c r="G438" s="32"/>
      <c r="H438" s="32"/>
      <c r="I438" s="32"/>
      <c r="J438" s="32"/>
      <c r="K438" s="32"/>
      <c r="L438" s="44"/>
      <c r="N438" s="36"/>
      <c r="Y438" s="32"/>
      <c r="Z438" s="32"/>
    </row>
    <row r="439" spans="2:26" s="35" customFormat="1" ht="12.75">
      <c r="B439" s="44"/>
      <c r="C439" s="32"/>
      <c r="D439" s="32"/>
      <c r="E439" s="32"/>
      <c r="F439" s="32"/>
      <c r="G439" s="32"/>
      <c r="H439" s="32"/>
      <c r="I439" s="32"/>
      <c r="J439" s="32"/>
      <c r="K439" s="32"/>
      <c r="L439" s="44"/>
      <c r="N439" s="36"/>
      <c r="Y439" s="32"/>
      <c r="Z439" s="32"/>
    </row>
    <row r="440" spans="2:26" s="35" customFormat="1" ht="12.75">
      <c r="B440" s="44"/>
      <c r="C440" s="32"/>
      <c r="D440" s="32"/>
      <c r="E440" s="32"/>
      <c r="F440" s="32"/>
      <c r="G440" s="32"/>
      <c r="H440" s="32"/>
      <c r="I440" s="32"/>
      <c r="J440" s="32"/>
      <c r="K440" s="32"/>
      <c r="L440" s="44"/>
      <c r="N440" s="36"/>
      <c r="Y440" s="32"/>
      <c r="Z440" s="32"/>
    </row>
    <row r="441" spans="2:26" s="35" customFormat="1" ht="12.75">
      <c r="B441" s="44"/>
      <c r="C441" s="32"/>
      <c r="D441" s="32"/>
      <c r="E441" s="32"/>
      <c r="F441" s="32"/>
      <c r="G441" s="32"/>
      <c r="H441" s="32"/>
      <c r="I441" s="32"/>
      <c r="J441" s="32"/>
      <c r="K441" s="32"/>
      <c r="L441" s="44"/>
      <c r="N441" s="36"/>
      <c r="Y441" s="32"/>
      <c r="Z441" s="32"/>
    </row>
    <row r="442" spans="2:26" s="35" customFormat="1" ht="12.75">
      <c r="B442" s="44"/>
      <c r="C442" s="32"/>
      <c r="D442" s="32"/>
      <c r="E442" s="32"/>
      <c r="F442" s="32"/>
      <c r="G442" s="32"/>
      <c r="H442" s="32"/>
      <c r="I442" s="32"/>
      <c r="J442" s="32"/>
      <c r="K442" s="32"/>
      <c r="L442" s="44"/>
      <c r="N442" s="36"/>
      <c r="Y442" s="32"/>
      <c r="Z442" s="32"/>
    </row>
    <row r="443" spans="2:26" s="35" customFormat="1" ht="12.75">
      <c r="B443" s="44"/>
      <c r="C443" s="32"/>
      <c r="D443" s="32"/>
      <c r="E443" s="32"/>
      <c r="F443" s="32"/>
      <c r="G443" s="32"/>
      <c r="H443" s="32"/>
      <c r="I443" s="32"/>
      <c r="J443" s="32"/>
      <c r="K443" s="32"/>
      <c r="L443" s="44"/>
      <c r="N443" s="36"/>
      <c r="Y443" s="32"/>
      <c r="Z443" s="32"/>
    </row>
    <row r="444" spans="2:26" s="35" customFormat="1" ht="12.75">
      <c r="B444" s="44"/>
      <c r="C444" s="32"/>
      <c r="D444" s="32"/>
      <c r="E444" s="32"/>
      <c r="F444" s="32"/>
      <c r="G444" s="32"/>
      <c r="H444" s="32"/>
      <c r="I444" s="32"/>
      <c r="J444" s="32"/>
      <c r="K444" s="32"/>
      <c r="L444" s="44"/>
      <c r="N444" s="36"/>
      <c r="Y444" s="32"/>
      <c r="Z444" s="32"/>
    </row>
    <row r="445" spans="2:26" s="35" customFormat="1" ht="12.75">
      <c r="B445" s="44"/>
      <c r="C445" s="32"/>
      <c r="D445" s="32"/>
      <c r="E445" s="32"/>
      <c r="F445" s="32"/>
      <c r="G445" s="32"/>
      <c r="H445" s="32"/>
      <c r="I445" s="32"/>
      <c r="J445" s="32"/>
      <c r="K445" s="32"/>
      <c r="L445" s="44"/>
      <c r="N445" s="36"/>
      <c r="Y445" s="32"/>
      <c r="Z445" s="32"/>
    </row>
    <row r="446" spans="2:26" s="35" customFormat="1" ht="12.75">
      <c r="B446" s="44"/>
      <c r="C446" s="32"/>
      <c r="D446" s="32"/>
      <c r="E446" s="32"/>
      <c r="F446" s="32"/>
      <c r="G446" s="32"/>
      <c r="H446" s="32"/>
      <c r="I446" s="32"/>
      <c r="J446" s="32"/>
      <c r="K446" s="32"/>
      <c r="L446" s="44"/>
      <c r="N446" s="36"/>
      <c r="Y446" s="32"/>
      <c r="Z446" s="32"/>
    </row>
    <row r="447" spans="2:26" s="35" customFormat="1" ht="12.75">
      <c r="B447" s="44"/>
      <c r="C447" s="32"/>
      <c r="D447" s="32"/>
      <c r="E447" s="32"/>
      <c r="F447" s="32"/>
      <c r="G447" s="32"/>
      <c r="H447" s="32"/>
      <c r="I447" s="32"/>
      <c r="J447" s="32"/>
      <c r="K447" s="32"/>
      <c r="L447" s="44"/>
      <c r="N447" s="36"/>
      <c r="Y447" s="32"/>
      <c r="Z447" s="32"/>
    </row>
    <row r="448" spans="2:26" s="35" customFormat="1" ht="12.75">
      <c r="B448" s="44"/>
      <c r="C448" s="32"/>
      <c r="D448" s="32"/>
      <c r="E448" s="32"/>
      <c r="F448" s="32"/>
      <c r="G448" s="32"/>
      <c r="H448" s="32"/>
      <c r="I448" s="32"/>
      <c r="J448" s="32"/>
      <c r="K448" s="32"/>
      <c r="L448" s="44"/>
      <c r="N448" s="36"/>
      <c r="Y448" s="32"/>
      <c r="Z448" s="32"/>
    </row>
    <row r="449" spans="2:26" s="35" customFormat="1" ht="12.75">
      <c r="B449" s="44"/>
      <c r="C449" s="32"/>
      <c r="D449" s="32"/>
      <c r="E449" s="32"/>
      <c r="F449" s="32"/>
      <c r="G449" s="32"/>
      <c r="H449" s="32"/>
      <c r="I449" s="32"/>
      <c r="J449" s="32"/>
      <c r="K449" s="32"/>
      <c r="L449" s="44"/>
      <c r="N449" s="36"/>
      <c r="Y449" s="32"/>
      <c r="Z449" s="32"/>
    </row>
    <row r="450" spans="2:26" s="35" customFormat="1" ht="12.75">
      <c r="B450" s="44"/>
      <c r="C450" s="32"/>
      <c r="D450" s="32"/>
      <c r="E450" s="32"/>
      <c r="F450" s="32"/>
      <c r="G450" s="32"/>
      <c r="H450" s="32"/>
      <c r="I450" s="32"/>
      <c r="J450" s="32"/>
      <c r="K450" s="32"/>
      <c r="L450" s="44"/>
      <c r="N450" s="36"/>
      <c r="Y450" s="32"/>
      <c r="Z450" s="32"/>
    </row>
    <row r="451" spans="2:26" s="35" customFormat="1" ht="12.75">
      <c r="B451" s="44"/>
      <c r="C451" s="32"/>
      <c r="D451" s="32"/>
      <c r="E451" s="32"/>
      <c r="F451" s="32"/>
      <c r="G451" s="32"/>
      <c r="H451" s="32"/>
      <c r="I451" s="32"/>
      <c r="J451" s="32"/>
      <c r="K451" s="32"/>
      <c r="L451" s="44"/>
      <c r="N451" s="36"/>
      <c r="Y451" s="32"/>
      <c r="Z451" s="32"/>
    </row>
    <row r="452" spans="2:26" s="35" customFormat="1" ht="12.75">
      <c r="B452" s="44"/>
      <c r="C452" s="32"/>
      <c r="D452" s="32"/>
      <c r="E452" s="32"/>
      <c r="F452" s="32"/>
      <c r="G452" s="32"/>
      <c r="H452" s="32"/>
      <c r="I452" s="32"/>
      <c r="J452" s="32"/>
      <c r="K452" s="32"/>
      <c r="L452" s="44"/>
      <c r="N452" s="36"/>
      <c r="Y452" s="32"/>
      <c r="Z452" s="32"/>
    </row>
    <row r="453" spans="2:26" s="35" customFormat="1" ht="12.75">
      <c r="B453" s="44"/>
      <c r="C453" s="32"/>
      <c r="D453" s="32"/>
      <c r="E453" s="32"/>
      <c r="F453" s="32"/>
      <c r="G453" s="32"/>
      <c r="H453" s="32"/>
      <c r="I453" s="32"/>
      <c r="J453" s="32"/>
      <c r="K453" s="32"/>
      <c r="L453" s="44"/>
      <c r="N453" s="36"/>
      <c r="Y453" s="32"/>
      <c r="Z453" s="32"/>
    </row>
    <row r="454" spans="2:26" s="35" customFormat="1" ht="12.75">
      <c r="B454" s="44"/>
      <c r="C454" s="32"/>
      <c r="D454" s="32"/>
      <c r="E454" s="32"/>
      <c r="F454" s="32"/>
      <c r="G454" s="32"/>
      <c r="H454" s="32"/>
      <c r="I454" s="32"/>
      <c r="J454" s="32"/>
      <c r="K454" s="32"/>
      <c r="L454" s="44"/>
      <c r="N454" s="36"/>
      <c r="Y454" s="32"/>
      <c r="Z454" s="32"/>
    </row>
    <row r="455" spans="2:26" s="35" customFormat="1" ht="12.75">
      <c r="B455" s="44"/>
      <c r="C455" s="32"/>
      <c r="D455" s="32"/>
      <c r="E455" s="32"/>
      <c r="F455" s="32"/>
      <c r="G455" s="32"/>
      <c r="H455" s="32"/>
      <c r="I455" s="32"/>
      <c r="J455" s="32"/>
      <c r="K455" s="32"/>
      <c r="L455" s="44"/>
      <c r="N455" s="36"/>
      <c r="Y455" s="32"/>
      <c r="Z455" s="32"/>
    </row>
    <row r="456" spans="2:26" s="35" customFormat="1" ht="12.75">
      <c r="B456" s="44"/>
      <c r="C456" s="32"/>
      <c r="D456" s="32"/>
      <c r="E456" s="32"/>
      <c r="F456" s="32"/>
      <c r="G456" s="32"/>
      <c r="H456" s="32"/>
      <c r="I456" s="32"/>
      <c r="J456" s="32"/>
      <c r="K456" s="32"/>
      <c r="L456" s="44"/>
      <c r="N456" s="36"/>
      <c r="Y456" s="32"/>
      <c r="Z456" s="32"/>
    </row>
    <row r="457" spans="2:26" s="35" customFormat="1" ht="12.75">
      <c r="B457" s="44"/>
      <c r="C457" s="32"/>
      <c r="D457" s="32"/>
      <c r="E457" s="32"/>
      <c r="F457" s="32"/>
      <c r="G457" s="32"/>
      <c r="H457" s="32"/>
      <c r="I457" s="32"/>
      <c r="J457" s="32"/>
      <c r="K457" s="32"/>
      <c r="L457" s="44"/>
      <c r="N457" s="36"/>
      <c r="Y457" s="32"/>
      <c r="Z457" s="32"/>
    </row>
    <row r="458" spans="2:26" s="35" customFormat="1" ht="12.75">
      <c r="B458" s="44"/>
      <c r="C458" s="32"/>
      <c r="D458" s="32"/>
      <c r="E458" s="32"/>
      <c r="F458" s="32"/>
      <c r="G458" s="32"/>
      <c r="H458" s="32"/>
      <c r="I458" s="32"/>
      <c r="J458" s="32"/>
      <c r="K458" s="32"/>
      <c r="L458" s="44"/>
      <c r="N458" s="36"/>
      <c r="Y458" s="32"/>
      <c r="Z458" s="32"/>
    </row>
    <row r="459" spans="2:26" s="35" customFormat="1" ht="12.75">
      <c r="B459" s="44"/>
      <c r="C459" s="32"/>
      <c r="D459" s="32"/>
      <c r="E459" s="32"/>
      <c r="F459" s="32"/>
      <c r="G459" s="32"/>
      <c r="H459" s="32"/>
      <c r="I459" s="32"/>
      <c r="J459" s="32"/>
      <c r="K459" s="32"/>
      <c r="L459" s="44"/>
      <c r="N459" s="36"/>
      <c r="Y459" s="32"/>
      <c r="Z459" s="32"/>
    </row>
    <row r="460" spans="2:26" s="35" customFormat="1" ht="12.75">
      <c r="B460" s="44"/>
      <c r="C460" s="32"/>
      <c r="D460" s="32"/>
      <c r="E460" s="32"/>
      <c r="F460" s="32"/>
      <c r="G460" s="32"/>
      <c r="H460" s="32"/>
      <c r="I460" s="32"/>
      <c r="J460" s="32"/>
      <c r="K460" s="32"/>
      <c r="L460" s="44"/>
      <c r="N460" s="36"/>
      <c r="Y460" s="32"/>
      <c r="Z460" s="32"/>
    </row>
    <row r="461" spans="2:26" s="35" customFormat="1" ht="12.75">
      <c r="B461" s="44"/>
      <c r="C461" s="32"/>
      <c r="D461" s="32"/>
      <c r="E461" s="32"/>
      <c r="F461" s="32"/>
      <c r="G461" s="32"/>
      <c r="H461" s="32"/>
      <c r="I461" s="32"/>
      <c r="J461" s="32"/>
      <c r="K461" s="32"/>
      <c r="L461" s="44"/>
      <c r="N461" s="36"/>
      <c r="Y461" s="32"/>
      <c r="Z461" s="32"/>
    </row>
    <row r="462" spans="2:26" s="35" customFormat="1" ht="12.75">
      <c r="B462" s="44"/>
      <c r="C462" s="32"/>
      <c r="D462" s="32"/>
      <c r="E462" s="32"/>
      <c r="F462" s="32"/>
      <c r="G462" s="32"/>
      <c r="H462" s="32"/>
      <c r="I462" s="32"/>
      <c r="J462" s="32"/>
      <c r="K462" s="32"/>
      <c r="L462" s="44"/>
      <c r="N462" s="36"/>
      <c r="Y462" s="32"/>
      <c r="Z462" s="32"/>
    </row>
    <row r="463" spans="2:26" s="35" customFormat="1" ht="12.75">
      <c r="B463" s="44"/>
      <c r="C463" s="32"/>
      <c r="D463" s="32"/>
      <c r="E463" s="32"/>
      <c r="F463" s="32"/>
      <c r="G463" s="32"/>
      <c r="H463" s="32"/>
      <c r="I463" s="32"/>
      <c r="J463" s="32"/>
      <c r="K463" s="32"/>
      <c r="L463" s="44"/>
      <c r="N463" s="36"/>
      <c r="Y463" s="32"/>
      <c r="Z463" s="32"/>
    </row>
    <row r="464" spans="2:26" s="35" customFormat="1" ht="12.75">
      <c r="B464" s="44"/>
      <c r="C464" s="32"/>
      <c r="D464" s="32"/>
      <c r="E464" s="32"/>
      <c r="F464" s="32"/>
      <c r="G464" s="32"/>
      <c r="H464" s="32"/>
      <c r="I464" s="32"/>
      <c r="J464" s="32"/>
      <c r="K464" s="32"/>
      <c r="L464" s="44"/>
      <c r="N464" s="36"/>
      <c r="Y464" s="32"/>
      <c r="Z464" s="32"/>
    </row>
    <row r="465" spans="2:26" s="35" customFormat="1" ht="12.75">
      <c r="B465" s="44"/>
      <c r="C465" s="32"/>
      <c r="D465" s="32"/>
      <c r="E465" s="32"/>
      <c r="F465" s="32"/>
      <c r="G465" s="32"/>
      <c r="H465" s="32"/>
      <c r="I465" s="32"/>
      <c r="J465" s="32"/>
      <c r="K465" s="32"/>
      <c r="L465" s="44"/>
      <c r="N465" s="36"/>
      <c r="Y465" s="32"/>
      <c r="Z465" s="32"/>
    </row>
    <row r="466" spans="2:26" s="35" customFormat="1" ht="12.75">
      <c r="B466" s="44"/>
      <c r="C466" s="32"/>
      <c r="D466" s="32"/>
      <c r="E466" s="32"/>
      <c r="F466" s="32"/>
      <c r="G466" s="32"/>
      <c r="H466" s="32"/>
      <c r="I466" s="32"/>
      <c r="J466" s="32"/>
      <c r="K466" s="32"/>
      <c r="L466" s="44"/>
      <c r="N466" s="36"/>
      <c r="Y466" s="32"/>
      <c r="Z466" s="32"/>
    </row>
    <row r="467" spans="2:26" s="35" customFormat="1" ht="12.75">
      <c r="B467" s="44"/>
      <c r="C467" s="32"/>
      <c r="D467" s="32"/>
      <c r="E467" s="32"/>
      <c r="F467" s="32"/>
      <c r="G467" s="32"/>
      <c r="H467" s="32"/>
      <c r="I467" s="32"/>
      <c r="J467" s="32"/>
      <c r="K467" s="32"/>
      <c r="L467" s="44"/>
      <c r="N467" s="36"/>
      <c r="Y467" s="32"/>
      <c r="Z467" s="32"/>
    </row>
    <row r="468" spans="2:26" s="35" customFormat="1" ht="12.75">
      <c r="B468" s="44"/>
      <c r="C468" s="32"/>
      <c r="D468" s="32"/>
      <c r="E468" s="32"/>
      <c r="F468" s="32"/>
      <c r="G468" s="32"/>
      <c r="H468" s="32"/>
      <c r="I468" s="32"/>
      <c r="J468" s="32"/>
      <c r="K468" s="32"/>
      <c r="L468" s="44"/>
      <c r="N468" s="36"/>
      <c r="Y468" s="32"/>
      <c r="Z468" s="32"/>
    </row>
    <row r="469" spans="2:26" s="35" customFormat="1" ht="12.75">
      <c r="B469" s="44"/>
      <c r="C469" s="32"/>
      <c r="D469" s="32"/>
      <c r="E469" s="32"/>
      <c r="F469" s="32"/>
      <c r="G469" s="32"/>
      <c r="H469" s="32"/>
      <c r="I469" s="32"/>
      <c r="J469" s="32"/>
      <c r="K469" s="32"/>
      <c r="L469" s="44"/>
      <c r="N469" s="36"/>
      <c r="Y469" s="32"/>
      <c r="Z469" s="32"/>
    </row>
    <row r="470" spans="2:26" s="35" customFormat="1" ht="12.75">
      <c r="B470" s="44"/>
      <c r="C470" s="32"/>
      <c r="D470" s="32"/>
      <c r="E470" s="32"/>
      <c r="F470" s="32"/>
      <c r="G470" s="32"/>
      <c r="H470" s="32"/>
      <c r="I470" s="32"/>
      <c r="J470" s="32"/>
      <c r="K470" s="32"/>
      <c r="L470" s="44"/>
      <c r="N470" s="36"/>
      <c r="Y470" s="32"/>
      <c r="Z470" s="32"/>
    </row>
    <row r="471" spans="2:26" s="35" customFormat="1" ht="12.75">
      <c r="B471" s="44"/>
      <c r="C471" s="32"/>
      <c r="D471" s="32"/>
      <c r="E471" s="32"/>
      <c r="F471" s="32"/>
      <c r="G471" s="32"/>
      <c r="H471" s="32"/>
      <c r="I471" s="32"/>
      <c r="J471" s="32"/>
      <c r="K471" s="32"/>
      <c r="L471" s="44"/>
      <c r="N471" s="36"/>
      <c r="Y471" s="32"/>
      <c r="Z471" s="32"/>
    </row>
    <row r="472" spans="2:26" s="35" customFormat="1" ht="12.75">
      <c r="B472" s="44"/>
      <c r="C472" s="32"/>
      <c r="D472" s="32"/>
      <c r="E472" s="32"/>
      <c r="F472" s="32"/>
      <c r="G472" s="32"/>
      <c r="H472" s="32"/>
      <c r="I472" s="32"/>
      <c r="J472" s="32"/>
      <c r="K472" s="32"/>
      <c r="L472" s="44"/>
      <c r="N472" s="36"/>
      <c r="Y472" s="32"/>
      <c r="Z472" s="32"/>
    </row>
    <row r="473" spans="2:26" s="35" customFormat="1" ht="12.75">
      <c r="B473" s="44"/>
      <c r="C473" s="32"/>
      <c r="D473" s="32"/>
      <c r="E473" s="32"/>
      <c r="F473" s="32"/>
      <c r="G473" s="32"/>
      <c r="H473" s="32"/>
      <c r="I473" s="32"/>
      <c r="J473" s="32"/>
      <c r="K473" s="32"/>
      <c r="L473" s="44"/>
      <c r="N473" s="36"/>
      <c r="Y473" s="32"/>
      <c r="Z473" s="32"/>
    </row>
    <row r="474" spans="2:26" s="35" customFormat="1" ht="12.75">
      <c r="B474" s="44"/>
      <c r="C474" s="32"/>
      <c r="D474" s="32"/>
      <c r="E474" s="32"/>
      <c r="F474" s="32"/>
      <c r="G474" s="32"/>
      <c r="H474" s="32"/>
      <c r="I474" s="32"/>
      <c r="J474" s="32"/>
      <c r="K474" s="32"/>
      <c r="L474" s="44"/>
      <c r="N474" s="36"/>
      <c r="Y474" s="32"/>
      <c r="Z474" s="32"/>
    </row>
    <row r="475" spans="2:26" s="35" customFormat="1" ht="12.75">
      <c r="B475" s="44"/>
      <c r="C475" s="32"/>
      <c r="D475" s="32"/>
      <c r="E475" s="32"/>
      <c r="F475" s="32"/>
      <c r="G475" s="32"/>
      <c r="H475" s="32"/>
      <c r="I475" s="32"/>
      <c r="J475" s="32"/>
      <c r="K475" s="32"/>
      <c r="L475" s="44"/>
      <c r="N475" s="36"/>
      <c r="Y475" s="32"/>
      <c r="Z475" s="32"/>
    </row>
    <row r="476" spans="2:26" s="35" customFormat="1" ht="12.75">
      <c r="B476" s="44"/>
      <c r="C476" s="32"/>
      <c r="D476" s="32"/>
      <c r="E476" s="32"/>
      <c r="F476" s="32"/>
      <c r="G476" s="32"/>
      <c r="H476" s="32"/>
      <c r="I476" s="32"/>
      <c r="J476" s="32"/>
      <c r="K476" s="32"/>
      <c r="L476" s="44"/>
      <c r="N476" s="36"/>
      <c r="Y476" s="32"/>
      <c r="Z476" s="32"/>
    </row>
    <row r="477" spans="2:26" s="35" customFormat="1" ht="12.75">
      <c r="B477" s="44"/>
      <c r="C477" s="32"/>
      <c r="D477" s="32"/>
      <c r="E477" s="32"/>
      <c r="F477" s="32"/>
      <c r="G477" s="32"/>
      <c r="H477" s="32"/>
      <c r="I477" s="32"/>
      <c r="J477" s="32"/>
      <c r="K477" s="32"/>
      <c r="L477" s="44"/>
      <c r="N477" s="36"/>
      <c r="Y477" s="32"/>
      <c r="Z477" s="32"/>
    </row>
    <row r="478" spans="2:26" s="35" customFormat="1" ht="12.75">
      <c r="B478" s="44"/>
      <c r="C478" s="32"/>
      <c r="D478" s="32"/>
      <c r="E478" s="32"/>
      <c r="F478" s="32"/>
      <c r="G478" s="32"/>
      <c r="H478" s="32"/>
      <c r="I478" s="32"/>
      <c r="J478" s="32"/>
      <c r="K478" s="32"/>
      <c r="L478" s="44"/>
      <c r="N478" s="36"/>
      <c r="Y478" s="32"/>
      <c r="Z478" s="32"/>
    </row>
    <row r="479" spans="2:26" s="35" customFormat="1" ht="12.75">
      <c r="B479" s="44"/>
      <c r="C479" s="32"/>
      <c r="D479" s="32"/>
      <c r="E479" s="32"/>
      <c r="F479" s="32"/>
      <c r="G479" s="32"/>
      <c r="H479" s="32"/>
      <c r="I479" s="32"/>
      <c r="J479" s="32"/>
      <c r="K479" s="32"/>
      <c r="L479" s="44"/>
      <c r="N479" s="36"/>
      <c r="Y479" s="32"/>
      <c r="Z479" s="32"/>
    </row>
    <row r="480" spans="2:26" s="35" customFormat="1" ht="12.75">
      <c r="B480" s="44"/>
      <c r="C480" s="32"/>
      <c r="D480" s="32"/>
      <c r="E480" s="32"/>
      <c r="F480" s="32"/>
      <c r="G480" s="32"/>
      <c r="H480" s="32"/>
      <c r="I480" s="32"/>
      <c r="J480" s="32"/>
      <c r="K480" s="32"/>
      <c r="L480" s="44"/>
      <c r="N480" s="36"/>
      <c r="Y480" s="32"/>
      <c r="Z480" s="32"/>
    </row>
    <row r="481" spans="2:26" s="35" customFormat="1" ht="12.75">
      <c r="B481" s="44"/>
      <c r="C481" s="32"/>
      <c r="D481" s="32"/>
      <c r="E481" s="32"/>
      <c r="F481" s="32"/>
      <c r="G481" s="32"/>
      <c r="H481" s="32"/>
      <c r="I481" s="32"/>
      <c r="J481" s="32"/>
      <c r="K481" s="32"/>
      <c r="L481" s="44"/>
      <c r="N481" s="36"/>
      <c r="Y481" s="32"/>
      <c r="Z481" s="32"/>
    </row>
    <row r="482" spans="2:26" s="35" customFormat="1" ht="12.75">
      <c r="B482" s="44"/>
      <c r="C482" s="32"/>
      <c r="D482" s="32"/>
      <c r="E482" s="32"/>
      <c r="F482" s="32"/>
      <c r="G482" s="32"/>
      <c r="H482" s="32"/>
      <c r="I482" s="32"/>
      <c r="J482" s="32"/>
      <c r="K482" s="32"/>
      <c r="L482" s="44"/>
      <c r="N482" s="36"/>
      <c r="Y482" s="32"/>
      <c r="Z482" s="32"/>
    </row>
    <row r="483" spans="2:26" s="35" customFormat="1" ht="12.75">
      <c r="B483" s="44"/>
      <c r="C483" s="32"/>
      <c r="D483" s="32"/>
      <c r="E483" s="32"/>
      <c r="F483" s="32"/>
      <c r="G483" s="32"/>
      <c r="H483" s="32"/>
      <c r="I483" s="32"/>
      <c r="J483" s="32"/>
      <c r="K483" s="32"/>
      <c r="L483" s="44"/>
      <c r="N483" s="36"/>
      <c r="Y483" s="32"/>
      <c r="Z483" s="32"/>
    </row>
    <row r="484" spans="2:26" s="35" customFormat="1" ht="12.75">
      <c r="B484" s="44"/>
      <c r="C484" s="32"/>
      <c r="D484" s="32"/>
      <c r="E484" s="32"/>
      <c r="F484" s="32"/>
      <c r="G484" s="32"/>
      <c r="H484" s="32"/>
      <c r="I484" s="32"/>
      <c r="J484" s="32"/>
      <c r="K484" s="32"/>
      <c r="L484" s="44"/>
      <c r="N484" s="36"/>
      <c r="Y484" s="32"/>
      <c r="Z484" s="32"/>
    </row>
    <row r="485" spans="2:26" s="35" customFormat="1" ht="12.75">
      <c r="B485" s="44"/>
      <c r="C485" s="32"/>
      <c r="D485" s="32"/>
      <c r="E485" s="32"/>
      <c r="F485" s="32"/>
      <c r="G485" s="32"/>
      <c r="H485" s="32"/>
      <c r="I485" s="32"/>
      <c r="J485" s="32"/>
      <c r="K485" s="32"/>
      <c r="L485" s="44"/>
      <c r="N485" s="36"/>
      <c r="Y485" s="32"/>
      <c r="Z485" s="32"/>
    </row>
    <row r="486" spans="2:26" s="35" customFormat="1" ht="12.75">
      <c r="B486" s="44"/>
      <c r="C486" s="32"/>
      <c r="D486" s="32"/>
      <c r="E486" s="32"/>
      <c r="F486" s="32"/>
      <c r="G486" s="32"/>
      <c r="H486" s="32"/>
      <c r="I486" s="32"/>
      <c r="J486" s="32"/>
      <c r="K486" s="32"/>
      <c r="L486" s="44"/>
      <c r="N486" s="36"/>
      <c r="Y486" s="32"/>
      <c r="Z486" s="32"/>
    </row>
    <row r="487" spans="2:26" s="35" customFormat="1" ht="12.75">
      <c r="B487" s="44"/>
      <c r="C487" s="32"/>
      <c r="D487" s="32"/>
      <c r="E487" s="32"/>
      <c r="F487" s="32"/>
      <c r="G487" s="32"/>
      <c r="H487" s="32"/>
      <c r="I487" s="32"/>
      <c r="J487" s="32"/>
      <c r="K487" s="32"/>
      <c r="L487" s="44"/>
      <c r="N487" s="36"/>
      <c r="Y487" s="32"/>
      <c r="Z487" s="32"/>
    </row>
    <row r="488" spans="2:26" s="35" customFormat="1" ht="12.75">
      <c r="B488" s="44"/>
      <c r="C488" s="32"/>
      <c r="D488" s="32"/>
      <c r="E488" s="32"/>
      <c r="F488" s="32"/>
      <c r="G488" s="32"/>
      <c r="H488" s="32"/>
      <c r="I488" s="32"/>
      <c r="J488" s="32"/>
      <c r="K488" s="32"/>
      <c r="L488" s="44"/>
      <c r="N488" s="36"/>
      <c r="Y488" s="32"/>
      <c r="Z488" s="32"/>
    </row>
    <row r="489" spans="2:26" s="35" customFormat="1" ht="12.75">
      <c r="B489" s="44"/>
      <c r="C489" s="32"/>
      <c r="D489" s="32"/>
      <c r="E489" s="32"/>
      <c r="F489" s="32"/>
      <c r="G489" s="32"/>
      <c r="H489" s="32"/>
      <c r="I489" s="32"/>
      <c r="J489" s="32"/>
      <c r="K489" s="32"/>
      <c r="L489" s="44"/>
      <c r="N489" s="36"/>
      <c r="Y489" s="32"/>
      <c r="Z489" s="32"/>
    </row>
    <row r="490" spans="2:26" s="35" customFormat="1" ht="12.75">
      <c r="B490" s="44"/>
      <c r="C490" s="32"/>
      <c r="D490" s="32"/>
      <c r="E490" s="32"/>
      <c r="F490" s="32"/>
      <c r="G490" s="32"/>
      <c r="H490" s="32"/>
      <c r="I490" s="32"/>
      <c r="J490" s="32"/>
      <c r="K490" s="32"/>
      <c r="L490" s="44"/>
      <c r="N490" s="36"/>
      <c r="Y490" s="32"/>
      <c r="Z490" s="32"/>
    </row>
    <row r="491" spans="2:26" s="35" customFormat="1" ht="12.75">
      <c r="B491" s="44"/>
      <c r="C491" s="32"/>
      <c r="D491" s="32"/>
      <c r="E491" s="32"/>
      <c r="F491" s="32"/>
      <c r="G491" s="32"/>
      <c r="H491" s="32"/>
      <c r="I491" s="32"/>
      <c r="J491" s="32"/>
      <c r="K491" s="32"/>
      <c r="L491" s="44"/>
      <c r="N491" s="36"/>
      <c r="Y491" s="32"/>
      <c r="Z491" s="32"/>
    </row>
    <row r="492" spans="2:26" s="35" customFormat="1" ht="12.75">
      <c r="B492" s="44"/>
      <c r="C492" s="32"/>
      <c r="D492" s="32"/>
      <c r="E492" s="32"/>
      <c r="F492" s="32"/>
      <c r="G492" s="32"/>
      <c r="H492" s="32"/>
      <c r="I492" s="32"/>
      <c r="J492" s="32"/>
      <c r="K492" s="32"/>
      <c r="L492" s="44"/>
      <c r="N492" s="36"/>
      <c r="Y492" s="32"/>
      <c r="Z492" s="32"/>
    </row>
    <row r="493" spans="2:26" s="35" customFormat="1" ht="12.75">
      <c r="B493" s="44"/>
      <c r="C493" s="32"/>
      <c r="D493" s="32"/>
      <c r="E493" s="32"/>
      <c r="F493" s="32"/>
      <c r="G493" s="32"/>
      <c r="H493" s="32"/>
      <c r="I493" s="32"/>
      <c r="J493" s="32"/>
      <c r="K493" s="32"/>
      <c r="L493" s="44"/>
      <c r="N493" s="36"/>
      <c r="Y493" s="32"/>
      <c r="Z493" s="32"/>
    </row>
    <row r="494" spans="2:26" s="35" customFormat="1" ht="12.75">
      <c r="B494" s="44"/>
      <c r="C494" s="32"/>
      <c r="D494" s="32"/>
      <c r="E494" s="32"/>
      <c r="F494" s="32"/>
      <c r="G494" s="32"/>
      <c r="H494" s="32"/>
      <c r="I494" s="32"/>
      <c r="J494" s="32"/>
      <c r="K494" s="32"/>
      <c r="L494" s="44"/>
      <c r="N494" s="36"/>
      <c r="Y494" s="32"/>
      <c r="Z494" s="32"/>
    </row>
    <row r="495" spans="2:26" s="35" customFormat="1" ht="12.75">
      <c r="B495" s="44"/>
      <c r="C495" s="32"/>
      <c r="D495" s="32"/>
      <c r="E495" s="32"/>
      <c r="F495" s="32"/>
      <c r="G495" s="32"/>
      <c r="H495" s="32"/>
      <c r="I495" s="32"/>
      <c r="J495" s="32"/>
      <c r="K495" s="32"/>
      <c r="L495" s="44"/>
      <c r="N495" s="36"/>
      <c r="Y495" s="32"/>
      <c r="Z495" s="32"/>
    </row>
    <row r="496" spans="2:26" s="35" customFormat="1" ht="12.75">
      <c r="B496" s="44"/>
      <c r="C496" s="32"/>
      <c r="D496" s="32"/>
      <c r="E496" s="32"/>
      <c r="F496" s="32"/>
      <c r="G496" s="32"/>
      <c r="H496" s="32"/>
      <c r="I496" s="32"/>
      <c r="J496" s="32"/>
      <c r="K496" s="32"/>
      <c r="L496" s="44"/>
      <c r="N496" s="36"/>
      <c r="Y496" s="32"/>
      <c r="Z496" s="32"/>
    </row>
    <row r="497" spans="2:26" s="35" customFormat="1" ht="12.75">
      <c r="B497" s="44"/>
      <c r="C497" s="32"/>
      <c r="D497" s="32"/>
      <c r="E497" s="32"/>
      <c r="F497" s="32"/>
      <c r="G497" s="32"/>
      <c r="H497" s="32"/>
      <c r="I497" s="32"/>
      <c r="J497" s="32"/>
      <c r="K497" s="32"/>
      <c r="L497" s="44"/>
      <c r="N497" s="36"/>
      <c r="Y497" s="32"/>
      <c r="Z497" s="32"/>
    </row>
    <row r="498" spans="2:26" s="35" customFormat="1" ht="12.75">
      <c r="B498" s="44"/>
      <c r="C498" s="32"/>
      <c r="D498" s="32"/>
      <c r="E498" s="32"/>
      <c r="F498" s="32"/>
      <c r="G498" s="32"/>
      <c r="H498" s="32"/>
      <c r="I498" s="32"/>
      <c r="J498" s="32"/>
      <c r="K498" s="32"/>
      <c r="L498" s="44"/>
      <c r="N498" s="36"/>
      <c r="Y498" s="32"/>
      <c r="Z498" s="32"/>
    </row>
    <row r="499" spans="2:26" s="35" customFormat="1" ht="12.75">
      <c r="B499" s="44"/>
      <c r="C499" s="32"/>
      <c r="D499" s="32"/>
      <c r="E499" s="32"/>
      <c r="F499" s="32"/>
      <c r="G499" s="32"/>
      <c r="H499" s="32"/>
      <c r="I499" s="32"/>
      <c r="J499" s="32"/>
      <c r="K499" s="32"/>
      <c r="L499" s="44"/>
      <c r="N499" s="36"/>
      <c r="Y499" s="32"/>
      <c r="Z499" s="32"/>
    </row>
    <row r="500" spans="2:26" s="35" customFormat="1" ht="12.75">
      <c r="B500" s="44"/>
      <c r="C500" s="32"/>
      <c r="D500" s="32"/>
      <c r="E500" s="32"/>
      <c r="F500" s="32"/>
      <c r="G500" s="32"/>
      <c r="H500" s="32"/>
      <c r="I500" s="32"/>
      <c r="J500" s="32"/>
      <c r="K500" s="32"/>
      <c r="L500" s="44"/>
      <c r="N500" s="36"/>
      <c r="Y500" s="32"/>
      <c r="Z500" s="32"/>
    </row>
    <row r="501" spans="2:26" s="35" customFormat="1" ht="12.75">
      <c r="B501" s="44"/>
      <c r="C501" s="32"/>
      <c r="D501" s="32"/>
      <c r="E501" s="32"/>
      <c r="F501" s="32"/>
      <c r="G501" s="32"/>
      <c r="H501" s="32"/>
      <c r="I501" s="32"/>
      <c r="J501" s="32"/>
      <c r="K501" s="32"/>
      <c r="L501" s="44"/>
      <c r="N501" s="36"/>
      <c r="Y501" s="32"/>
      <c r="Z501" s="32"/>
    </row>
    <row r="502" spans="2:26" s="35" customFormat="1" ht="12.75">
      <c r="B502" s="44"/>
      <c r="C502" s="32"/>
      <c r="D502" s="32"/>
      <c r="E502" s="32"/>
      <c r="F502" s="32"/>
      <c r="G502" s="32"/>
      <c r="H502" s="32"/>
      <c r="I502" s="32"/>
      <c r="J502" s="32"/>
      <c r="K502" s="32"/>
      <c r="L502" s="44"/>
      <c r="N502" s="36"/>
      <c r="Y502" s="32"/>
      <c r="Z502" s="32"/>
    </row>
    <row r="503" spans="2:26" s="35" customFormat="1" ht="12.75">
      <c r="B503" s="44"/>
      <c r="C503" s="32"/>
      <c r="D503" s="32"/>
      <c r="E503" s="32"/>
      <c r="F503" s="32"/>
      <c r="G503" s="32"/>
      <c r="H503" s="32"/>
      <c r="I503" s="32"/>
      <c r="J503" s="32"/>
      <c r="K503" s="32"/>
      <c r="L503" s="44"/>
      <c r="N503" s="36"/>
      <c r="Y503" s="32"/>
      <c r="Z503" s="32"/>
    </row>
    <row r="504" spans="2:26" s="35" customFormat="1" ht="12.75">
      <c r="B504" s="44"/>
      <c r="C504" s="32"/>
      <c r="D504" s="32"/>
      <c r="E504" s="32"/>
      <c r="F504" s="32"/>
      <c r="G504" s="32"/>
      <c r="H504" s="32"/>
      <c r="I504" s="32"/>
      <c r="J504" s="32"/>
      <c r="K504" s="32"/>
      <c r="L504" s="44"/>
      <c r="N504" s="36"/>
      <c r="Y504" s="32"/>
      <c r="Z504" s="32"/>
    </row>
    <row r="505" spans="2:26" s="35" customFormat="1" ht="12.75">
      <c r="B505" s="44"/>
      <c r="C505" s="32"/>
      <c r="D505" s="32"/>
      <c r="E505" s="32"/>
      <c r="F505" s="32"/>
      <c r="G505" s="32"/>
      <c r="H505" s="32"/>
      <c r="I505" s="32"/>
      <c r="J505" s="32"/>
      <c r="K505" s="32"/>
      <c r="L505" s="44"/>
      <c r="N505" s="36"/>
      <c r="Y505" s="32"/>
      <c r="Z505" s="32"/>
    </row>
    <row r="506" spans="2:26" s="35" customFormat="1" ht="12.75">
      <c r="B506" s="44"/>
      <c r="C506" s="32"/>
      <c r="D506" s="32"/>
      <c r="E506" s="32"/>
      <c r="F506" s="32"/>
      <c r="G506" s="32"/>
      <c r="H506" s="32"/>
      <c r="I506" s="32"/>
      <c r="J506" s="32"/>
      <c r="K506" s="32"/>
      <c r="L506" s="44"/>
      <c r="N506" s="36"/>
      <c r="Y506" s="32"/>
      <c r="Z506" s="32"/>
    </row>
    <row r="507" spans="2:26" s="35" customFormat="1" ht="12.75">
      <c r="B507" s="44"/>
      <c r="C507" s="32"/>
      <c r="D507" s="32"/>
      <c r="E507" s="32"/>
      <c r="F507" s="32"/>
      <c r="G507" s="32"/>
      <c r="H507" s="32"/>
      <c r="I507" s="32"/>
      <c r="J507" s="32"/>
      <c r="K507" s="32"/>
      <c r="L507" s="44"/>
      <c r="N507" s="36"/>
      <c r="Y507" s="32"/>
      <c r="Z507" s="32"/>
    </row>
    <row r="508" spans="2:26" s="35" customFormat="1" ht="12.75">
      <c r="B508" s="44"/>
      <c r="C508" s="32"/>
      <c r="D508" s="32"/>
      <c r="E508" s="32"/>
      <c r="F508" s="32"/>
      <c r="G508" s="32"/>
      <c r="H508" s="32"/>
      <c r="I508" s="32"/>
      <c r="J508" s="32"/>
      <c r="K508" s="32"/>
      <c r="L508" s="44"/>
      <c r="N508" s="36"/>
      <c r="Y508" s="32"/>
      <c r="Z508" s="32"/>
    </row>
    <row r="509" spans="2:26" s="35" customFormat="1" ht="12.75">
      <c r="B509" s="44"/>
      <c r="C509" s="32"/>
      <c r="D509" s="32"/>
      <c r="E509" s="32"/>
      <c r="F509" s="32"/>
      <c r="G509" s="32"/>
      <c r="H509" s="32"/>
      <c r="I509" s="32"/>
      <c r="J509" s="32"/>
      <c r="K509" s="32"/>
      <c r="L509" s="44"/>
      <c r="N509" s="36"/>
      <c r="Y509" s="32"/>
      <c r="Z509" s="32"/>
    </row>
    <row r="510" spans="2:26" s="35" customFormat="1" ht="12.75">
      <c r="B510" s="44"/>
      <c r="C510" s="32"/>
      <c r="D510" s="32"/>
      <c r="E510" s="32"/>
      <c r="F510" s="32"/>
      <c r="G510" s="32"/>
      <c r="H510" s="32"/>
      <c r="I510" s="32"/>
      <c r="J510" s="32"/>
      <c r="K510" s="32"/>
      <c r="L510" s="44"/>
      <c r="N510" s="36"/>
      <c r="Y510" s="32"/>
      <c r="Z510" s="32"/>
    </row>
    <row r="511" spans="2:26" s="35" customFormat="1" ht="12.75">
      <c r="B511" s="44"/>
      <c r="C511" s="32"/>
      <c r="D511" s="32"/>
      <c r="E511" s="32"/>
      <c r="F511" s="32"/>
      <c r="G511" s="32"/>
      <c r="H511" s="32"/>
      <c r="I511" s="32"/>
      <c r="J511" s="32"/>
      <c r="K511" s="32"/>
      <c r="L511" s="44"/>
      <c r="N511" s="36"/>
      <c r="Y511" s="32"/>
      <c r="Z511" s="32"/>
    </row>
    <row r="512" spans="2:26" s="35" customFormat="1" ht="12.75">
      <c r="B512" s="44"/>
      <c r="C512" s="32"/>
      <c r="D512" s="32"/>
      <c r="E512" s="32"/>
      <c r="F512" s="32"/>
      <c r="G512" s="32"/>
      <c r="H512" s="32"/>
      <c r="I512" s="32"/>
      <c r="J512" s="32"/>
      <c r="K512" s="32"/>
      <c r="L512" s="44"/>
      <c r="N512" s="36"/>
      <c r="Y512" s="32"/>
      <c r="Z512" s="32"/>
    </row>
    <row r="513" spans="2:26" s="35" customFormat="1" ht="12.75">
      <c r="B513" s="44"/>
      <c r="C513" s="32"/>
      <c r="D513" s="32"/>
      <c r="E513" s="32"/>
      <c r="F513" s="32"/>
      <c r="G513" s="32"/>
      <c r="H513" s="32"/>
      <c r="I513" s="32"/>
      <c r="J513" s="32"/>
      <c r="K513" s="32"/>
      <c r="L513" s="44"/>
      <c r="N513" s="36"/>
      <c r="Y513" s="32"/>
      <c r="Z513" s="32"/>
    </row>
    <row r="514" spans="2:26" s="35" customFormat="1" ht="12.75">
      <c r="B514" s="44"/>
      <c r="C514" s="32"/>
      <c r="D514" s="32"/>
      <c r="E514" s="32"/>
      <c r="F514" s="32"/>
      <c r="G514" s="32"/>
      <c r="H514" s="32"/>
      <c r="I514" s="32"/>
      <c r="J514" s="32"/>
      <c r="K514" s="32"/>
      <c r="L514" s="44"/>
      <c r="N514" s="36"/>
      <c r="Y514" s="32"/>
      <c r="Z514" s="32"/>
    </row>
    <row r="515" spans="2:26" s="35" customFormat="1" ht="12.75">
      <c r="B515" s="44"/>
      <c r="C515" s="32"/>
      <c r="D515" s="32"/>
      <c r="E515" s="32"/>
      <c r="F515" s="32"/>
      <c r="G515" s="32"/>
      <c r="H515" s="32"/>
      <c r="I515" s="32"/>
      <c r="J515" s="32"/>
      <c r="K515" s="32"/>
      <c r="L515" s="44"/>
      <c r="N515" s="36"/>
      <c r="Y515" s="32"/>
      <c r="Z515" s="32"/>
    </row>
    <row r="516" spans="2:26" s="35" customFormat="1" ht="12.75">
      <c r="B516" s="44"/>
      <c r="C516" s="32"/>
      <c r="D516" s="32"/>
      <c r="E516" s="32"/>
      <c r="F516" s="32"/>
      <c r="G516" s="32"/>
      <c r="H516" s="32"/>
      <c r="I516" s="32"/>
      <c r="J516" s="32"/>
      <c r="K516" s="32"/>
      <c r="L516" s="44"/>
      <c r="N516" s="36"/>
      <c r="Y516" s="32"/>
      <c r="Z516" s="32"/>
    </row>
    <row r="517" spans="2:26" s="35" customFormat="1" ht="12.75">
      <c r="B517" s="44"/>
      <c r="C517" s="32"/>
      <c r="D517" s="32"/>
      <c r="E517" s="32"/>
      <c r="F517" s="32"/>
      <c r="G517" s="32"/>
      <c r="H517" s="32"/>
      <c r="I517" s="32"/>
      <c r="J517" s="32"/>
      <c r="K517" s="32"/>
      <c r="L517" s="44"/>
      <c r="N517" s="36"/>
      <c r="Y517" s="32"/>
      <c r="Z517" s="32"/>
    </row>
    <row r="518" spans="2:26" s="35" customFormat="1" ht="12.75">
      <c r="B518" s="44"/>
      <c r="C518" s="32"/>
      <c r="D518" s="32"/>
      <c r="E518" s="32"/>
      <c r="F518" s="32"/>
      <c r="G518" s="32"/>
      <c r="H518" s="32"/>
      <c r="I518" s="32"/>
      <c r="J518" s="32"/>
      <c r="K518" s="32"/>
      <c r="L518" s="44"/>
      <c r="N518" s="36"/>
      <c r="Y518" s="32"/>
      <c r="Z518" s="32"/>
    </row>
    <row r="519" spans="2:26" s="35" customFormat="1" ht="12.75">
      <c r="B519" s="44"/>
      <c r="C519" s="32"/>
      <c r="D519" s="32"/>
      <c r="E519" s="32"/>
      <c r="F519" s="32"/>
      <c r="G519" s="32"/>
      <c r="H519" s="32"/>
      <c r="I519" s="32"/>
      <c r="J519" s="32"/>
      <c r="K519" s="32"/>
      <c r="L519" s="44"/>
      <c r="N519" s="36"/>
      <c r="Y519" s="32"/>
      <c r="Z519" s="32"/>
    </row>
    <row r="520" spans="2:26" s="35" customFormat="1" ht="12.75">
      <c r="B520" s="44"/>
      <c r="C520" s="32"/>
      <c r="D520" s="32"/>
      <c r="E520" s="32"/>
      <c r="F520" s="32"/>
      <c r="G520" s="32"/>
      <c r="H520" s="32"/>
      <c r="I520" s="32"/>
      <c r="J520" s="32"/>
      <c r="K520" s="32"/>
      <c r="L520" s="44"/>
      <c r="N520" s="36"/>
      <c r="Y520" s="32"/>
      <c r="Z520" s="32"/>
    </row>
    <row r="521" spans="2:26" s="35" customFormat="1" ht="12.75">
      <c r="B521" s="44"/>
      <c r="C521" s="32"/>
      <c r="D521" s="32"/>
      <c r="E521" s="32"/>
      <c r="F521" s="32"/>
      <c r="G521" s="32"/>
      <c r="H521" s="32"/>
      <c r="I521" s="32"/>
      <c r="J521" s="32"/>
      <c r="K521" s="32"/>
      <c r="L521" s="44"/>
      <c r="N521" s="36"/>
      <c r="Y521" s="32"/>
      <c r="Z521" s="32"/>
    </row>
    <row r="522" spans="2:26" s="35" customFormat="1" ht="12.75">
      <c r="B522" s="44"/>
      <c r="C522" s="32"/>
      <c r="D522" s="32"/>
      <c r="E522" s="32"/>
      <c r="F522" s="32"/>
      <c r="G522" s="32"/>
      <c r="H522" s="32"/>
      <c r="I522" s="32"/>
      <c r="J522" s="32"/>
      <c r="K522" s="32"/>
      <c r="L522" s="44"/>
      <c r="N522" s="36"/>
      <c r="Y522" s="32"/>
      <c r="Z522" s="32"/>
    </row>
    <row r="523" spans="2:26" s="35" customFormat="1" ht="12.75">
      <c r="B523" s="44"/>
      <c r="C523" s="32"/>
      <c r="D523" s="32"/>
      <c r="E523" s="32"/>
      <c r="F523" s="32"/>
      <c r="G523" s="32"/>
      <c r="H523" s="32"/>
      <c r="I523" s="32"/>
      <c r="J523" s="32"/>
      <c r="K523" s="32"/>
      <c r="L523" s="44"/>
      <c r="N523" s="36"/>
      <c r="Y523" s="32"/>
      <c r="Z523" s="32"/>
    </row>
    <row r="524" spans="2:26" s="35" customFormat="1" ht="12.75">
      <c r="B524" s="44"/>
      <c r="C524" s="32"/>
      <c r="D524" s="32"/>
      <c r="E524" s="32"/>
      <c r="F524" s="32"/>
      <c r="G524" s="32"/>
      <c r="H524" s="32"/>
      <c r="I524" s="32"/>
      <c r="J524" s="32"/>
      <c r="K524" s="32"/>
      <c r="L524" s="44"/>
      <c r="N524" s="36"/>
      <c r="Y524" s="32"/>
      <c r="Z524" s="32"/>
    </row>
    <row r="525" spans="2:26" s="35" customFormat="1" ht="12.75">
      <c r="B525" s="44"/>
      <c r="C525" s="32"/>
      <c r="D525" s="32"/>
      <c r="E525" s="32"/>
      <c r="F525" s="32"/>
      <c r="G525" s="32"/>
      <c r="H525" s="32"/>
      <c r="I525" s="32"/>
      <c r="J525" s="32"/>
      <c r="K525" s="32"/>
      <c r="L525" s="44"/>
      <c r="N525" s="36"/>
      <c r="Y525" s="32"/>
      <c r="Z525" s="32"/>
    </row>
    <row r="526" spans="2:26" s="35" customFormat="1" ht="12.75">
      <c r="B526" s="44"/>
      <c r="C526" s="32"/>
      <c r="D526" s="32"/>
      <c r="E526" s="32"/>
      <c r="F526" s="32"/>
      <c r="G526" s="32"/>
      <c r="H526" s="32"/>
      <c r="I526" s="32"/>
      <c r="J526" s="32"/>
      <c r="K526" s="32"/>
      <c r="L526" s="44"/>
      <c r="N526" s="36"/>
      <c r="Y526" s="32"/>
      <c r="Z526" s="32"/>
    </row>
    <row r="527" spans="2:26" s="35" customFormat="1" ht="12.75">
      <c r="B527" s="44"/>
      <c r="C527" s="32"/>
      <c r="D527" s="32"/>
      <c r="E527" s="32"/>
      <c r="F527" s="32"/>
      <c r="G527" s="32"/>
      <c r="H527" s="32"/>
      <c r="I527" s="32"/>
      <c r="J527" s="32"/>
      <c r="K527" s="32"/>
      <c r="L527" s="44"/>
      <c r="N527" s="36"/>
      <c r="Y527" s="32"/>
      <c r="Z527" s="32"/>
    </row>
    <row r="528" spans="2:26" s="35" customFormat="1" ht="12.75">
      <c r="B528" s="44"/>
      <c r="C528" s="32"/>
      <c r="D528" s="32"/>
      <c r="E528" s="32"/>
      <c r="F528" s="32"/>
      <c r="G528" s="32"/>
      <c r="H528" s="32"/>
      <c r="I528" s="32"/>
      <c r="J528" s="32"/>
      <c r="K528" s="32"/>
      <c r="L528" s="44"/>
      <c r="N528" s="36"/>
      <c r="Y528" s="32"/>
      <c r="Z528" s="32"/>
    </row>
    <row r="529" spans="2:26" s="35" customFormat="1" ht="12.75">
      <c r="B529" s="44"/>
      <c r="C529" s="32"/>
      <c r="D529" s="32"/>
      <c r="E529" s="32"/>
      <c r="F529" s="32"/>
      <c r="G529" s="32"/>
      <c r="H529" s="32"/>
      <c r="I529" s="32"/>
      <c r="J529" s="32"/>
      <c r="K529" s="32"/>
      <c r="L529" s="44"/>
      <c r="N529" s="36"/>
      <c r="Y529" s="32"/>
      <c r="Z529" s="32"/>
    </row>
    <row r="530" spans="2:26" s="35" customFormat="1" ht="12.75">
      <c r="B530" s="44"/>
      <c r="C530" s="32"/>
      <c r="D530" s="32"/>
      <c r="E530" s="32"/>
      <c r="F530" s="32"/>
      <c r="G530" s="32"/>
      <c r="H530" s="32"/>
      <c r="I530" s="32"/>
      <c r="J530" s="32"/>
      <c r="K530" s="32"/>
      <c r="L530" s="44"/>
      <c r="N530" s="36"/>
      <c r="Y530" s="32"/>
      <c r="Z530" s="32"/>
    </row>
    <row r="531" spans="2:26" s="35" customFormat="1" ht="12.75">
      <c r="B531" s="44"/>
      <c r="C531" s="32"/>
      <c r="D531" s="32"/>
      <c r="E531" s="32"/>
      <c r="F531" s="32"/>
      <c r="G531" s="32"/>
      <c r="H531" s="32"/>
      <c r="I531" s="32"/>
      <c r="J531" s="32"/>
      <c r="K531" s="32"/>
      <c r="L531" s="44"/>
      <c r="N531" s="36"/>
      <c r="Y531" s="32"/>
      <c r="Z531" s="32"/>
    </row>
    <row r="532" spans="2:26" s="35" customFormat="1" ht="12.75">
      <c r="B532" s="44"/>
      <c r="C532" s="32"/>
      <c r="D532" s="32"/>
      <c r="E532" s="32"/>
      <c r="F532" s="32"/>
      <c r="G532" s="32"/>
      <c r="H532" s="32"/>
      <c r="I532" s="32"/>
      <c r="J532" s="32"/>
      <c r="K532" s="32"/>
      <c r="L532" s="44"/>
      <c r="N532" s="36"/>
      <c r="Y532" s="32"/>
      <c r="Z532" s="32"/>
    </row>
    <row r="533" spans="2:26" s="35" customFormat="1" ht="12.75">
      <c r="B533" s="44"/>
      <c r="C533" s="32"/>
      <c r="D533" s="32"/>
      <c r="E533" s="32"/>
      <c r="F533" s="32"/>
      <c r="G533" s="32"/>
      <c r="H533" s="32"/>
      <c r="I533" s="32"/>
      <c r="J533" s="32"/>
      <c r="K533" s="32"/>
      <c r="L533" s="44"/>
      <c r="N533" s="36"/>
      <c r="Y533" s="32"/>
      <c r="Z533" s="32"/>
    </row>
    <row r="534" spans="2:26" s="35" customFormat="1" ht="12.75">
      <c r="B534" s="44"/>
      <c r="C534" s="32"/>
      <c r="D534" s="32"/>
      <c r="E534" s="32"/>
      <c r="F534" s="32"/>
      <c r="G534" s="32"/>
      <c r="H534" s="32"/>
      <c r="I534" s="32"/>
      <c r="J534" s="32"/>
      <c r="K534" s="32"/>
      <c r="L534" s="44"/>
      <c r="N534" s="36"/>
      <c r="Y534" s="32"/>
      <c r="Z534" s="32"/>
    </row>
    <row r="535" spans="2:26" s="35" customFormat="1" ht="12.75">
      <c r="B535" s="44"/>
      <c r="C535" s="32"/>
      <c r="D535" s="32"/>
      <c r="E535" s="32"/>
      <c r="F535" s="32"/>
      <c r="G535" s="32"/>
      <c r="H535" s="32"/>
      <c r="I535" s="32"/>
      <c r="J535" s="32"/>
      <c r="K535" s="32"/>
      <c r="L535" s="44"/>
      <c r="N535" s="36"/>
      <c r="Y535" s="32"/>
      <c r="Z535" s="32"/>
    </row>
    <row r="536" spans="2:26" s="35" customFormat="1" ht="12.75">
      <c r="B536" s="44"/>
      <c r="C536" s="32"/>
      <c r="D536" s="32"/>
      <c r="E536" s="32"/>
      <c r="F536" s="32"/>
      <c r="G536" s="32"/>
      <c r="H536" s="32"/>
      <c r="I536" s="32"/>
      <c r="J536" s="32"/>
      <c r="K536" s="32"/>
      <c r="L536" s="44"/>
      <c r="N536" s="36"/>
      <c r="Y536" s="32"/>
      <c r="Z536" s="32"/>
    </row>
    <row r="537" spans="2:26" s="35" customFormat="1" ht="12.75">
      <c r="B537" s="44"/>
      <c r="C537" s="32"/>
      <c r="D537" s="32"/>
      <c r="E537" s="32"/>
      <c r="F537" s="32"/>
      <c r="G537" s="32"/>
      <c r="H537" s="32"/>
      <c r="I537" s="32"/>
      <c r="J537" s="32"/>
      <c r="K537" s="32"/>
      <c r="L537" s="44"/>
      <c r="N537" s="36"/>
      <c r="Y537" s="32"/>
      <c r="Z537" s="32"/>
    </row>
    <row r="538" spans="2:26" s="35" customFormat="1" ht="12.75">
      <c r="B538" s="44"/>
      <c r="C538" s="32"/>
      <c r="D538" s="32"/>
      <c r="E538" s="32"/>
      <c r="F538" s="32"/>
      <c r="G538" s="32"/>
      <c r="H538" s="32"/>
      <c r="I538" s="32"/>
      <c r="J538" s="32"/>
      <c r="K538" s="32"/>
      <c r="L538" s="44"/>
      <c r="N538" s="36"/>
      <c r="Y538" s="32"/>
      <c r="Z538" s="32"/>
    </row>
    <row r="539" spans="2:26" s="35" customFormat="1" ht="12.75">
      <c r="B539" s="44"/>
      <c r="C539" s="32"/>
      <c r="D539" s="32"/>
      <c r="E539" s="32"/>
      <c r="F539" s="32"/>
      <c r="G539" s="32"/>
      <c r="H539" s="32"/>
      <c r="I539" s="32"/>
      <c r="J539" s="32"/>
      <c r="K539" s="32"/>
      <c r="L539" s="44"/>
      <c r="N539" s="36"/>
      <c r="Y539" s="32"/>
      <c r="Z539" s="32"/>
    </row>
    <row r="540" spans="2:26" s="35" customFormat="1" ht="12.75">
      <c r="B540" s="44"/>
      <c r="C540" s="32"/>
      <c r="D540" s="32"/>
      <c r="E540" s="32"/>
      <c r="F540" s="32"/>
      <c r="G540" s="32"/>
      <c r="H540" s="32"/>
      <c r="I540" s="32"/>
      <c r="J540" s="32"/>
      <c r="K540" s="32"/>
      <c r="L540" s="44"/>
      <c r="N540" s="36"/>
      <c r="Y540" s="32"/>
      <c r="Z540" s="32"/>
    </row>
    <row r="541" spans="2:26" s="35" customFormat="1" ht="12.75">
      <c r="B541" s="44"/>
      <c r="C541" s="32"/>
      <c r="D541" s="32"/>
      <c r="E541" s="32"/>
      <c r="F541" s="32"/>
      <c r="G541" s="32"/>
      <c r="H541" s="32"/>
      <c r="I541" s="32"/>
      <c r="J541" s="32"/>
      <c r="K541" s="32"/>
      <c r="L541" s="44"/>
      <c r="N541" s="36"/>
      <c r="Y541" s="32"/>
      <c r="Z541" s="32"/>
    </row>
    <row r="542" spans="2:26" s="35" customFormat="1" ht="12.75">
      <c r="B542" s="44"/>
      <c r="C542" s="32"/>
      <c r="D542" s="32"/>
      <c r="E542" s="32"/>
      <c r="F542" s="32"/>
      <c r="G542" s="32"/>
      <c r="H542" s="32"/>
      <c r="I542" s="32"/>
      <c r="J542" s="32"/>
      <c r="K542" s="32"/>
      <c r="L542" s="44"/>
      <c r="N542" s="36"/>
      <c r="Y542" s="32"/>
      <c r="Z542" s="32"/>
    </row>
    <row r="543" spans="2:26" s="35" customFormat="1" ht="12.75">
      <c r="B543" s="44"/>
      <c r="C543" s="32"/>
      <c r="D543" s="32"/>
      <c r="E543" s="32"/>
      <c r="F543" s="32"/>
      <c r="G543" s="32"/>
      <c r="H543" s="32"/>
      <c r="I543" s="32"/>
      <c r="J543" s="32"/>
      <c r="K543" s="32"/>
      <c r="L543" s="44"/>
      <c r="N543" s="36"/>
      <c r="Y543" s="32"/>
      <c r="Z543" s="32"/>
    </row>
    <row r="544" spans="2:26" s="35" customFormat="1" ht="12.75">
      <c r="B544" s="44"/>
      <c r="C544" s="32"/>
      <c r="D544" s="32"/>
      <c r="E544" s="32"/>
      <c r="F544" s="32"/>
      <c r="G544" s="32"/>
      <c r="H544" s="32"/>
      <c r="I544" s="32"/>
      <c r="J544" s="32"/>
      <c r="K544" s="32"/>
      <c r="L544" s="44"/>
      <c r="N544" s="36"/>
      <c r="Y544" s="32"/>
      <c r="Z544" s="32"/>
    </row>
    <row r="545" spans="2:26" s="35" customFormat="1" ht="12.75">
      <c r="B545" s="44"/>
      <c r="C545" s="32"/>
      <c r="D545" s="32"/>
      <c r="E545" s="32"/>
      <c r="F545" s="32"/>
      <c r="G545" s="32"/>
      <c r="H545" s="32"/>
      <c r="I545" s="32"/>
      <c r="J545" s="32"/>
      <c r="K545" s="32"/>
      <c r="L545" s="44"/>
      <c r="N545" s="36"/>
      <c r="Y545" s="32"/>
      <c r="Z545" s="32"/>
    </row>
    <row r="546" spans="2:26" s="35" customFormat="1" ht="12.75">
      <c r="B546" s="44"/>
      <c r="C546" s="32"/>
      <c r="D546" s="32"/>
      <c r="E546" s="32"/>
      <c r="F546" s="32"/>
      <c r="G546" s="32"/>
      <c r="H546" s="32"/>
      <c r="I546" s="32"/>
      <c r="J546" s="32"/>
      <c r="K546" s="32"/>
      <c r="L546" s="44"/>
      <c r="N546" s="36"/>
      <c r="Y546" s="32"/>
      <c r="Z546" s="32"/>
    </row>
    <row r="547" spans="2:26" s="35" customFormat="1" ht="12.75">
      <c r="B547" s="44"/>
      <c r="C547" s="32"/>
      <c r="D547" s="32"/>
      <c r="E547" s="32"/>
      <c r="F547" s="32"/>
      <c r="G547" s="32"/>
      <c r="H547" s="32"/>
      <c r="I547" s="32"/>
      <c r="J547" s="32"/>
      <c r="K547" s="32"/>
      <c r="L547" s="44"/>
      <c r="N547" s="36"/>
      <c r="Y547" s="32"/>
      <c r="Z547" s="32"/>
    </row>
    <row r="548" spans="2:26" s="35" customFormat="1" ht="12.75">
      <c r="B548" s="44"/>
      <c r="C548" s="32"/>
      <c r="D548" s="32"/>
      <c r="E548" s="32"/>
      <c r="F548" s="32"/>
      <c r="G548" s="32"/>
      <c r="H548" s="32"/>
      <c r="I548" s="32"/>
      <c r="J548" s="32"/>
      <c r="K548" s="32"/>
      <c r="L548" s="44"/>
      <c r="N548" s="36"/>
      <c r="Y548" s="32"/>
      <c r="Z548" s="32"/>
    </row>
    <row r="549" spans="2:26" s="35" customFormat="1" ht="12.75">
      <c r="B549" s="44"/>
      <c r="C549" s="32"/>
      <c r="D549" s="32"/>
      <c r="E549" s="32"/>
      <c r="F549" s="32"/>
      <c r="G549" s="32"/>
      <c r="H549" s="32"/>
      <c r="I549" s="32"/>
      <c r="J549" s="32"/>
      <c r="K549" s="32"/>
      <c r="L549" s="44"/>
      <c r="N549" s="36"/>
      <c r="Y549" s="32"/>
      <c r="Z549" s="32"/>
    </row>
    <row r="550" spans="2:26" s="35" customFormat="1" ht="12.75">
      <c r="B550" s="44"/>
      <c r="L550" s="44"/>
      <c r="N550" s="36"/>
      <c r="Y550" s="32"/>
      <c r="Z550" s="32"/>
    </row>
    <row r="551" spans="2:26" s="35" customFormat="1" ht="12.75">
      <c r="B551" s="44"/>
      <c r="L551" s="44"/>
      <c r="N551" s="36"/>
      <c r="Y551" s="32"/>
      <c r="Z551" s="32"/>
    </row>
    <row r="552" spans="2:26" s="35" customFormat="1" ht="12.75">
      <c r="B552" s="44"/>
      <c r="L552" s="44"/>
      <c r="N552" s="36"/>
      <c r="Y552" s="32"/>
      <c r="Z552" s="32"/>
    </row>
    <row r="553" spans="2:26" s="35" customFormat="1" ht="12.75">
      <c r="B553" s="44"/>
      <c r="L553" s="44"/>
      <c r="N553" s="36"/>
      <c r="Y553" s="32"/>
      <c r="Z553" s="32"/>
    </row>
    <row r="554" spans="2:26" s="35" customFormat="1" ht="12.75">
      <c r="B554" s="44"/>
      <c r="L554" s="44"/>
      <c r="N554" s="36"/>
      <c r="Y554" s="32"/>
      <c r="Z554" s="32"/>
    </row>
    <row r="555" spans="2:26" s="35" customFormat="1" ht="12.75">
      <c r="B555" s="44"/>
      <c r="L555" s="44"/>
      <c r="N555" s="36"/>
      <c r="Y555" s="32"/>
      <c r="Z555" s="32"/>
    </row>
    <row r="556" spans="2:26" s="35" customFormat="1" ht="12.75">
      <c r="B556" s="44"/>
      <c r="L556" s="44"/>
      <c r="N556" s="36"/>
      <c r="Y556" s="32"/>
      <c r="Z556" s="32"/>
    </row>
    <row r="557" spans="2:26" s="35" customFormat="1" ht="12.75">
      <c r="B557" s="44"/>
      <c r="L557" s="44"/>
      <c r="N557" s="36"/>
      <c r="Y557" s="32"/>
      <c r="Z557" s="32"/>
    </row>
    <row r="558" spans="2:26" s="35" customFormat="1" ht="12.75">
      <c r="B558" s="44"/>
      <c r="L558" s="44"/>
      <c r="N558" s="36"/>
      <c r="Y558" s="32"/>
      <c r="Z558" s="32"/>
    </row>
    <row r="559" spans="2:26" s="35" customFormat="1" ht="12.75">
      <c r="B559" s="44"/>
      <c r="L559" s="44"/>
      <c r="N559" s="36"/>
      <c r="Y559" s="32"/>
      <c r="Z559" s="32"/>
    </row>
    <row r="560" spans="2:26" s="35" customFormat="1" ht="12.75">
      <c r="B560" s="44"/>
      <c r="L560" s="44"/>
      <c r="N560" s="36"/>
      <c r="Y560" s="32"/>
      <c r="Z560" s="32"/>
    </row>
    <row r="561" spans="2:26" s="35" customFormat="1" ht="12.75">
      <c r="B561" s="44"/>
      <c r="L561" s="44"/>
      <c r="N561" s="36"/>
      <c r="Y561" s="32"/>
      <c r="Z561" s="32"/>
    </row>
    <row r="562" spans="2:26" s="35" customFormat="1" ht="12.75">
      <c r="B562" s="44"/>
      <c r="L562" s="44"/>
      <c r="N562" s="36"/>
      <c r="Y562" s="32"/>
      <c r="Z562" s="32"/>
    </row>
    <row r="563" spans="2:26" s="35" customFormat="1" ht="12.75">
      <c r="B563" s="44"/>
      <c r="L563" s="44"/>
      <c r="N563" s="36"/>
      <c r="Y563" s="32"/>
      <c r="Z563" s="32"/>
    </row>
    <row r="564" spans="2:26" s="35" customFormat="1" ht="12.75">
      <c r="B564" s="44"/>
      <c r="L564" s="44"/>
      <c r="N564" s="36"/>
      <c r="Y564" s="32"/>
      <c r="Z564" s="32"/>
    </row>
    <row r="565" spans="2:26" s="35" customFormat="1" ht="12.75">
      <c r="B565" s="44"/>
      <c r="L565" s="44"/>
      <c r="N565" s="36"/>
      <c r="Y565" s="32"/>
      <c r="Z565" s="32"/>
    </row>
    <row r="566" spans="2:26" s="35" customFormat="1" ht="12.75">
      <c r="B566" s="44"/>
      <c r="L566" s="44"/>
      <c r="N566" s="36"/>
      <c r="Y566" s="32"/>
      <c r="Z566" s="32"/>
    </row>
    <row r="567" spans="2:26" s="35" customFormat="1" ht="12.75">
      <c r="B567" s="44"/>
      <c r="L567" s="44"/>
      <c r="N567" s="36"/>
      <c r="Y567" s="32"/>
      <c r="Z567" s="32"/>
    </row>
    <row r="568" spans="2:26" s="35" customFormat="1" ht="12.75">
      <c r="B568" s="44"/>
      <c r="L568" s="44"/>
      <c r="N568" s="36"/>
      <c r="Y568" s="32"/>
      <c r="Z568" s="32"/>
    </row>
    <row r="569" spans="2:26" s="35" customFormat="1" ht="12.75">
      <c r="B569" s="44"/>
      <c r="L569" s="44"/>
      <c r="N569" s="36"/>
      <c r="Y569" s="32"/>
      <c r="Z569" s="32"/>
    </row>
    <row r="570" spans="2:26" s="35" customFormat="1" ht="12.75">
      <c r="B570" s="44"/>
      <c r="L570" s="44"/>
      <c r="N570" s="36"/>
      <c r="Y570" s="32"/>
      <c r="Z570" s="32"/>
    </row>
    <row r="571" spans="2:26" s="35" customFormat="1" ht="12.75">
      <c r="B571" s="44"/>
      <c r="L571" s="44"/>
      <c r="N571" s="36"/>
      <c r="Y571" s="32"/>
      <c r="Z571" s="32"/>
    </row>
    <row r="572" spans="2:26" s="35" customFormat="1" ht="12.75">
      <c r="B572" s="44"/>
      <c r="L572" s="44"/>
      <c r="N572" s="36"/>
      <c r="Y572" s="32"/>
      <c r="Z572" s="32"/>
    </row>
    <row r="573" spans="2:26" s="35" customFormat="1" ht="12.75">
      <c r="B573" s="44"/>
      <c r="L573" s="44"/>
      <c r="N573" s="36"/>
      <c r="Y573" s="32"/>
      <c r="Z573" s="32"/>
    </row>
    <row r="574" spans="2:26" s="35" customFormat="1" ht="12.75">
      <c r="B574" s="44"/>
      <c r="L574" s="44"/>
      <c r="N574" s="36"/>
      <c r="Y574" s="32"/>
      <c r="Z574" s="32"/>
    </row>
    <row r="575" spans="2:26" s="35" customFormat="1" ht="12.75">
      <c r="B575" s="44"/>
      <c r="L575" s="44"/>
      <c r="N575" s="36"/>
      <c r="Y575" s="32"/>
      <c r="Z575" s="32"/>
    </row>
    <row r="576" spans="2:26" s="35" customFormat="1" ht="12.75">
      <c r="B576" s="44"/>
      <c r="L576" s="44"/>
      <c r="N576" s="36"/>
      <c r="Y576" s="32"/>
      <c r="Z576" s="32"/>
    </row>
    <row r="577" spans="2:26" s="35" customFormat="1" ht="12.75">
      <c r="B577" s="44"/>
      <c r="L577" s="44"/>
      <c r="N577" s="36"/>
      <c r="Y577" s="32"/>
      <c r="Z577" s="32"/>
    </row>
    <row r="578" spans="2:26" s="35" customFormat="1" ht="12.75">
      <c r="B578" s="44"/>
      <c r="L578" s="44"/>
      <c r="N578" s="36"/>
      <c r="Y578" s="32"/>
      <c r="Z578" s="32"/>
    </row>
    <row r="579" spans="2:26" s="35" customFormat="1" ht="12.75">
      <c r="B579" s="44"/>
      <c r="L579" s="44"/>
      <c r="N579" s="36"/>
      <c r="Y579" s="32"/>
      <c r="Z579" s="32"/>
    </row>
    <row r="580" spans="2:26" s="35" customFormat="1" ht="12.75">
      <c r="B580" s="44"/>
      <c r="L580" s="44"/>
      <c r="N580" s="36"/>
      <c r="Y580" s="32"/>
      <c r="Z580" s="32"/>
    </row>
    <row r="581" spans="2:26" s="35" customFormat="1" ht="12.75">
      <c r="B581" s="44"/>
      <c r="L581" s="44"/>
      <c r="N581" s="36"/>
      <c r="Y581" s="32"/>
      <c r="Z581" s="32"/>
    </row>
    <row r="582" spans="2:26" s="35" customFormat="1" ht="12.75">
      <c r="B582" s="44"/>
      <c r="L582" s="44"/>
      <c r="N582" s="36"/>
      <c r="Y582" s="32"/>
      <c r="Z582" s="32"/>
    </row>
    <row r="583" spans="2:26" s="35" customFormat="1" ht="12.75">
      <c r="B583" s="44"/>
      <c r="L583" s="44"/>
      <c r="N583" s="36"/>
      <c r="Y583" s="32"/>
      <c r="Z583" s="32"/>
    </row>
    <row r="584" spans="2:26" s="35" customFormat="1" ht="12.75">
      <c r="B584" s="44"/>
      <c r="L584" s="44"/>
      <c r="N584" s="36"/>
      <c r="Y584" s="32"/>
      <c r="Z584" s="32"/>
    </row>
    <row r="585" spans="2:26" s="35" customFormat="1" ht="12.75">
      <c r="B585" s="44"/>
      <c r="L585" s="44"/>
      <c r="N585" s="36"/>
      <c r="Y585" s="32"/>
      <c r="Z585" s="32"/>
    </row>
    <row r="586" spans="2:26" s="35" customFormat="1" ht="12.75">
      <c r="B586" s="44"/>
      <c r="L586" s="44"/>
      <c r="N586" s="36"/>
      <c r="Y586" s="32"/>
      <c r="Z586" s="32"/>
    </row>
    <row r="587" spans="2:26" s="35" customFormat="1" ht="12.75">
      <c r="B587" s="44"/>
      <c r="L587" s="44"/>
      <c r="N587" s="36"/>
      <c r="Y587" s="32"/>
      <c r="Z587" s="32"/>
    </row>
    <row r="588" spans="2:26" s="35" customFormat="1" ht="12.75">
      <c r="B588" s="44"/>
      <c r="L588" s="44"/>
      <c r="N588" s="36"/>
      <c r="Y588" s="32"/>
      <c r="Z588" s="32"/>
    </row>
    <row r="589" spans="2:26" s="35" customFormat="1" ht="12.75">
      <c r="B589" s="44"/>
      <c r="L589" s="44"/>
      <c r="N589" s="36"/>
      <c r="Y589" s="32"/>
      <c r="Z589" s="32"/>
    </row>
    <row r="590" spans="2:26" s="35" customFormat="1" ht="12.75">
      <c r="B590" s="44"/>
      <c r="L590" s="44"/>
      <c r="N590" s="36"/>
      <c r="Y590" s="32"/>
      <c r="Z590" s="32"/>
    </row>
    <row r="591" spans="2:26" s="35" customFormat="1" ht="12.75">
      <c r="B591" s="44"/>
      <c r="L591" s="44"/>
      <c r="N591" s="36"/>
      <c r="Y591" s="32"/>
      <c r="Z591" s="32"/>
    </row>
    <row r="592" spans="2:26" s="35" customFormat="1" ht="12.75">
      <c r="B592" s="44"/>
      <c r="L592" s="44"/>
      <c r="N592" s="36"/>
      <c r="Y592" s="32"/>
      <c r="Z592" s="32"/>
    </row>
    <row r="593" spans="2:26" s="35" customFormat="1" ht="12.75">
      <c r="B593" s="44"/>
      <c r="L593" s="44"/>
      <c r="N593" s="36"/>
      <c r="Y593" s="32"/>
      <c r="Z593" s="32"/>
    </row>
    <row r="594" spans="2:26" s="35" customFormat="1" ht="12.75">
      <c r="B594" s="44"/>
      <c r="L594" s="44"/>
      <c r="N594" s="36"/>
      <c r="Y594" s="32"/>
      <c r="Z594" s="32"/>
    </row>
    <row r="595" spans="2:26" s="35" customFormat="1" ht="12.75">
      <c r="B595" s="44"/>
      <c r="L595" s="44"/>
      <c r="N595" s="36"/>
      <c r="Y595" s="32"/>
      <c r="Z595" s="32"/>
    </row>
    <row r="596" spans="2:26" s="35" customFormat="1" ht="12.75">
      <c r="B596" s="44"/>
      <c r="L596" s="44"/>
      <c r="N596" s="36"/>
      <c r="Y596" s="32"/>
      <c r="Z596" s="32"/>
    </row>
    <row r="597" spans="2:26" s="35" customFormat="1" ht="12.75">
      <c r="B597" s="44"/>
      <c r="L597" s="44"/>
      <c r="N597" s="36"/>
      <c r="Y597" s="32"/>
      <c r="Z597" s="32"/>
    </row>
    <row r="598" spans="2:26" s="35" customFormat="1" ht="12.75">
      <c r="B598" s="44"/>
      <c r="L598" s="44"/>
      <c r="N598" s="36"/>
      <c r="Y598" s="32"/>
      <c r="Z598" s="32"/>
    </row>
    <row r="599" spans="2:26" s="35" customFormat="1" ht="12.75">
      <c r="B599" s="44"/>
      <c r="L599" s="44"/>
      <c r="N599" s="36"/>
      <c r="Y599" s="32"/>
      <c r="Z599" s="32"/>
    </row>
    <row r="600" spans="2:26" s="35" customFormat="1" ht="12.75">
      <c r="B600" s="44"/>
      <c r="L600" s="44"/>
      <c r="N600" s="36"/>
      <c r="Y600" s="32"/>
      <c r="Z600" s="32"/>
    </row>
    <row r="601" spans="2:26" s="35" customFormat="1" ht="12.75">
      <c r="B601" s="44"/>
      <c r="L601" s="44"/>
      <c r="N601" s="36"/>
      <c r="Y601" s="32"/>
      <c r="Z601" s="32"/>
    </row>
    <row r="602" spans="2:26" s="35" customFormat="1" ht="12.75">
      <c r="B602" s="44"/>
      <c r="L602" s="44"/>
      <c r="N602" s="36"/>
      <c r="Y602" s="32"/>
      <c r="Z602" s="32"/>
    </row>
    <row r="603" spans="2:26" s="35" customFormat="1" ht="12.75">
      <c r="B603" s="44"/>
      <c r="L603" s="44"/>
      <c r="N603" s="36"/>
      <c r="Y603" s="32"/>
      <c r="Z603" s="32"/>
    </row>
    <row r="604" spans="2:26" s="35" customFormat="1" ht="12.75">
      <c r="B604" s="44"/>
      <c r="L604" s="44"/>
      <c r="N604" s="36"/>
      <c r="Y604" s="32"/>
      <c r="Z604" s="32"/>
    </row>
    <row r="605" spans="2:26" s="35" customFormat="1" ht="12.75">
      <c r="B605" s="44"/>
      <c r="L605" s="44"/>
      <c r="N605" s="36"/>
      <c r="Y605" s="32"/>
      <c r="Z605" s="32"/>
    </row>
    <row r="606" spans="2:26" s="35" customFormat="1" ht="12.75">
      <c r="B606" s="44"/>
      <c r="L606" s="44"/>
      <c r="N606" s="36"/>
      <c r="Y606" s="32"/>
      <c r="Z606" s="32"/>
    </row>
    <row r="607" spans="2:26" s="35" customFormat="1" ht="12.75">
      <c r="B607" s="44"/>
      <c r="L607" s="44"/>
      <c r="N607" s="36"/>
      <c r="Y607" s="32"/>
      <c r="Z607" s="32"/>
    </row>
    <row r="608" spans="2:26" s="35" customFormat="1" ht="12.75">
      <c r="B608" s="44"/>
      <c r="L608" s="44"/>
      <c r="N608" s="36"/>
      <c r="Y608" s="32"/>
      <c r="Z608" s="32"/>
    </row>
    <row r="609" spans="2:26" s="35" customFormat="1" ht="12.75">
      <c r="B609" s="44"/>
      <c r="L609" s="44"/>
      <c r="N609" s="36"/>
      <c r="Y609" s="32"/>
      <c r="Z609" s="32"/>
    </row>
    <row r="610" spans="2:26" s="35" customFormat="1" ht="12.75">
      <c r="B610" s="44"/>
      <c r="L610" s="44"/>
      <c r="N610" s="36"/>
      <c r="Y610" s="32"/>
      <c r="Z610" s="32"/>
    </row>
    <row r="611" spans="2:26" s="35" customFormat="1" ht="12.75">
      <c r="B611" s="44"/>
      <c r="L611" s="44"/>
      <c r="N611" s="36"/>
      <c r="Y611" s="32"/>
      <c r="Z611" s="32"/>
    </row>
    <row r="612" spans="2:26" s="35" customFormat="1" ht="12.75">
      <c r="B612" s="44"/>
      <c r="L612" s="44"/>
      <c r="N612" s="36"/>
      <c r="Y612" s="32"/>
      <c r="Z612" s="32"/>
    </row>
    <row r="613" spans="2:26" s="35" customFormat="1" ht="12.75">
      <c r="B613" s="44"/>
      <c r="L613" s="44"/>
      <c r="N613" s="36"/>
      <c r="Y613" s="32"/>
      <c r="Z613" s="32"/>
    </row>
    <row r="614" spans="2:26" s="35" customFormat="1" ht="12.75">
      <c r="B614" s="44"/>
      <c r="L614" s="44"/>
      <c r="N614" s="36"/>
      <c r="Y614" s="32"/>
      <c r="Z614" s="32"/>
    </row>
    <row r="615" spans="2:26" s="35" customFormat="1" ht="12.75">
      <c r="B615" s="44"/>
      <c r="L615" s="44"/>
      <c r="N615" s="36"/>
      <c r="Y615" s="32"/>
      <c r="Z615" s="32"/>
    </row>
    <row r="616" spans="2:26" s="35" customFormat="1" ht="12.75">
      <c r="B616" s="44"/>
      <c r="L616" s="44"/>
      <c r="N616" s="36"/>
      <c r="Y616" s="32"/>
      <c r="Z616" s="32"/>
    </row>
    <row r="617" spans="2:26" s="35" customFormat="1" ht="12.75">
      <c r="B617" s="44"/>
      <c r="L617" s="44"/>
      <c r="N617" s="36"/>
      <c r="Y617" s="32"/>
      <c r="Z617" s="32"/>
    </row>
    <row r="618" spans="2:26" s="35" customFormat="1" ht="12.75">
      <c r="B618" s="44"/>
      <c r="L618" s="44"/>
      <c r="N618" s="36"/>
      <c r="Y618" s="32"/>
      <c r="Z618" s="32"/>
    </row>
    <row r="619" spans="2:26" s="35" customFormat="1" ht="12.75">
      <c r="B619" s="44"/>
      <c r="L619" s="44"/>
      <c r="N619" s="36"/>
      <c r="Y619" s="32"/>
      <c r="Z619" s="32"/>
    </row>
    <row r="620" spans="2:26" s="35" customFormat="1" ht="12.75">
      <c r="B620" s="44"/>
      <c r="L620" s="44"/>
      <c r="N620" s="36"/>
      <c r="Y620" s="32"/>
      <c r="Z620" s="32"/>
    </row>
    <row r="621" spans="2:26" s="35" customFormat="1" ht="12.75">
      <c r="B621" s="44"/>
      <c r="L621" s="44"/>
      <c r="N621" s="36"/>
      <c r="Y621" s="32"/>
      <c r="Z621" s="32"/>
    </row>
    <row r="622" spans="2:26" s="35" customFormat="1" ht="12.75">
      <c r="B622" s="44"/>
      <c r="L622" s="44"/>
      <c r="N622" s="36"/>
      <c r="Y622" s="32"/>
      <c r="Z622" s="32"/>
    </row>
    <row r="623" spans="2:26" s="35" customFormat="1" ht="12.75">
      <c r="B623" s="44"/>
      <c r="L623" s="44"/>
      <c r="N623" s="36"/>
      <c r="Y623" s="32"/>
      <c r="Z623" s="32"/>
    </row>
    <row r="624" spans="2:26" s="35" customFormat="1" ht="12.75">
      <c r="B624" s="44"/>
      <c r="L624" s="44"/>
      <c r="N624" s="36"/>
      <c r="Y624" s="32"/>
      <c r="Z624" s="32"/>
    </row>
    <row r="625" spans="2:26" s="35" customFormat="1" ht="12.75">
      <c r="B625" s="44"/>
      <c r="L625" s="44"/>
      <c r="N625" s="36"/>
      <c r="Y625" s="32"/>
      <c r="Z625" s="32"/>
    </row>
    <row r="626" spans="2:26" s="35" customFormat="1" ht="12.75">
      <c r="B626" s="44"/>
      <c r="L626" s="44"/>
      <c r="Y626" s="32"/>
      <c r="Z626" s="32"/>
    </row>
    <row r="627" spans="2:26" s="35" customFormat="1" ht="12.75">
      <c r="B627" s="44"/>
      <c r="L627" s="44"/>
      <c r="Y627" s="32"/>
      <c r="Z627" s="32"/>
    </row>
    <row r="628" spans="2:26" s="35" customFormat="1" ht="12.75">
      <c r="B628" s="44"/>
      <c r="L628" s="44"/>
      <c r="Y628" s="32"/>
      <c r="Z628" s="32"/>
    </row>
    <row r="629" spans="2:26" s="35" customFormat="1" ht="12.75">
      <c r="B629" s="44"/>
      <c r="L629" s="44"/>
      <c r="Y629" s="32"/>
      <c r="Z629" s="32"/>
    </row>
    <row r="630" spans="2:26" s="35" customFormat="1" ht="12.75">
      <c r="B630" s="44"/>
      <c r="L630" s="44"/>
      <c r="Y630" s="32"/>
      <c r="Z630" s="32"/>
    </row>
    <row r="631" spans="2:26" s="35" customFormat="1" ht="12.75">
      <c r="B631" s="44"/>
      <c r="L631" s="44"/>
      <c r="Y631" s="32"/>
      <c r="Z631" s="32"/>
    </row>
    <row r="632" spans="2:26" s="35" customFormat="1" ht="12.75">
      <c r="B632" s="44"/>
      <c r="L632" s="44"/>
      <c r="Y632" s="32"/>
      <c r="Z632" s="32"/>
    </row>
    <row r="633" spans="2:26" s="35" customFormat="1" ht="12.75">
      <c r="B633" s="44"/>
      <c r="L633" s="44"/>
      <c r="Y633" s="32"/>
      <c r="Z633" s="32"/>
    </row>
    <row r="634" spans="2:26" s="35" customFormat="1" ht="12.75">
      <c r="B634" s="44"/>
      <c r="L634" s="44"/>
      <c r="Y634" s="32"/>
      <c r="Z634" s="32"/>
    </row>
    <row r="635" spans="2:26" s="35" customFormat="1" ht="12.75">
      <c r="B635" s="44"/>
      <c r="L635" s="44"/>
      <c r="Y635" s="32"/>
      <c r="Z635" s="32"/>
    </row>
    <row r="636" spans="2:26" s="35" customFormat="1" ht="12.75">
      <c r="B636" s="44"/>
      <c r="L636" s="44"/>
      <c r="Y636" s="32"/>
      <c r="Z636" s="32"/>
    </row>
    <row r="637" spans="2:26" s="35" customFormat="1" ht="12.75">
      <c r="B637" s="44"/>
      <c r="L637" s="44"/>
      <c r="Y637" s="32"/>
      <c r="Z637" s="32"/>
    </row>
    <row r="638" spans="2:26" s="35" customFormat="1" ht="12.75">
      <c r="B638" s="44"/>
      <c r="L638" s="44"/>
      <c r="Y638" s="32"/>
      <c r="Z638" s="32"/>
    </row>
    <row r="639" spans="2:26" s="35" customFormat="1" ht="12.75">
      <c r="B639" s="44"/>
      <c r="L639" s="44"/>
      <c r="Y639" s="32"/>
      <c r="Z639" s="32"/>
    </row>
    <row r="640" spans="2:26" s="35" customFormat="1" ht="12.75">
      <c r="B640" s="44"/>
      <c r="L640" s="44"/>
      <c r="Y640" s="32"/>
      <c r="Z640" s="3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H21"/>
  <sheetViews>
    <sheetView workbookViewId="0" topLeftCell="A1">
      <selection activeCell="F22" sqref="F22"/>
    </sheetView>
  </sheetViews>
  <sheetFormatPr defaultColWidth="9.140625" defaultRowHeight="12.75"/>
  <sheetData>
    <row r="1" ht="13.5" thickBot="1">
      <c r="D1">
        <v>14</v>
      </c>
    </row>
    <row r="2" spans="3:4" ht="12.75">
      <c r="C2">
        <v>0</v>
      </c>
      <c r="D2" s="72">
        <v>0</v>
      </c>
    </row>
    <row r="3" spans="3:8" ht="12.75">
      <c r="C3">
        <v>200</v>
      </c>
      <c r="D3" s="75">
        <v>23</v>
      </c>
      <c r="H3" s="71"/>
    </row>
    <row r="4" spans="3:4" ht="12.75">
      <c r="C4">
        <v>300</v>
      </c>
      <c r="D4" s="78">
        <v>32.96</v>
      </c>
    </row>
    <row r="5" spans="3:8" ht="13.5" thickBot="1">
      <c r="C5">
        <v>420</v>
      </c>
      <c r="D5" s="81">
        <v>42.5</v>
      </c>
      <c r="H5" s="71"/>
    </row>
    <row r="7" ht="12.75">
      <c r="H7" s="71"/>
    </row>
    <row r="8" ht="13.5" thickBot="1"/>
    <row r="9" spans="5:8" ht="12.75">
      <c r="E9" s="73"/>
      <c r="F9" s="74"/>
      <c r="H9" s="71"/>
    </row>
    <row r="10" spans="5:6" ht="12.75">
      <c r="E10" s="76"/>
      <c r="F10" s="77"/>
    </row>
    <row r="11" spans="5:8" ht="12.75">
      <c r="E11" s="79"/>
      <c r="F11" s="80"/>
      <c r="H11" s="71"/>
    </row>
    <row r="12" spans="5:6" ht="13.5" thickBot="1">
      <c r="E12" s="82"/>
      <c r="F12" s="83"/>
    </row>
    <row r="13" ht="12.75">
      <c r="H13" s="71"/>
    </row>
    <row r="15" ht="12.75">
      <c r="H15" s="71"/>
    </row>
    <row r="17" ht="12.75">
      <c r="H17" s="71"/>
    </row>
    <row r="19" ht="12.75">
      <c r="H19" s="71"/>
    </row>
    <row r="21" ht="12.75">
      <c r="H21" s="7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Mister</cp:lastModifiedBy>
  <dcterms:created xsi:type="dcterms:W3CDTF">1996-10-14T23:33:28Z</dcterms:created>
  <dcterms:modified xsi:type="dcterms:W3CDTF">2012-05-29T08:48:32Z</dcterms:modified>
  <cp:category/>
  <cp:version/>
  <cp:contentType/>
  <cp:contentStatus/>
</cp:coreProperties>
</file>